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4.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1.xml" ContentType="application/vnd.openxmlformats-officedocument.spreadsheetml.comment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C:\Users\E091308\Desktop\"/>
    </mc:Choice>
  </mc:AlternateContent>
  <xr:revisionPtr revIDLastSave="0" documentId="13_ncr:1_{3F179D8D-0FC3-4EE8-A59E-B1E0AA985CB7}" xr6:coauthVersionLast="47" xr6:coauthVersionMax="47" xr10:uidLastSave="{00000000-0000-0000-0000-000000000000}"/>
  <workbookProtection workbookAlgorithmName="SHA-512" workbookHashValue="v5WnFIhNtZksTSv0+9E5GFe33Nbgda2ciQBtgCzINNqUnANCC4uJP53VmJwio1k0DtUbICfP2PWBrqhBPK8mtA==" workbookSaltValue="GzZPlFP0v6MbTnnGRYsuFw==" workbookSpinCount="100000" lockStructure="1"/>
  <bookViews>
    <workbookView xWindow="16080" yWindow="10515" windowWidth="29040" windowHeight="15720" tabRatio="898" xr2:uid="{00000000-000D-0000-FFFF-FFFF00000000}"/>
  </bookViews>
  <sheets>
    <sheet name="Confirm Ltr " sheetId="42837" r:id="rId1"/>
    <sheet name="Results Ltr" sheetId="42838" r:id="rId2"/>
    <sheet name="Chart Review Info" sheetId="42789" r:id="rId3"/>
    <sheet name="Review Results" sheetId="42790" r:id="rId4"/>
    <sheet name="Services Change Summary" sheetId="42792" r:id="rId5"/>
    <sheet name="Provider Compliance" sheetId="42836" r:id="rId6"/>
    <sheet name="Tes Notes" sheetId="42833" state="hidden" r:id="rId7"/>
    <sheet name="Validations" sheetId="42834" state="hidden" r:id="rId8"/>
    <sheet name="Data" sheetId="42812" state="hidden" r:id="rId9"/>
    <sheet name="Data - Results" sheetId="42840" state="hidden" r:id="rId10"/>
    <sheet name="Additional Services" sheetId="42839" r:id="rId11"/>
    <sheet name="Client 1" sheetId="42713" r:id="rId12"/>
    <sheet name="Client 2" sheetId="42813" r:id="rId13"/>
    <sheet name="Client 3" sheetId="42814" r:id="rId14"/>
    <sheet name="Client 4" sheetId="42815" r:id="rId15"/>
    <sheet name="Client 5" sheetId="42816" r:id="rId16"/>
    <sheet name="Client 6" sheetId="42817" r:id="rId17"/>
    <sheet name="Client 7" sheetId="42818" r:id="rId18"/>
    <sheet name="Client 8" sheetId="42819" r:id="rId19"/>
    <sheet name="Client 9" sheetId="42820" r:id="rId20"/>
    <sheet name="Client 10" sheetId="42821" r:id="rId21"/>
    <sheet name="Client 11" sheetId="42823" r:id="rId22"/>
    <sheet name="Client 12" sheetId="42824" r:id="rId23"/>
    <sheet name="Client 13" sheetId="42825" r:id="rId24"/>
    <sheet name="Client 14" sheetId="42826" r:id="rId25"/>
    <sheet name="Client 15" sheetId="42827" r:id="rId26"/>
    <sheet name="Client 16" sheetId="42828" r:id="rId27"/>
    <sheet name="Client 17" sheetId="42829" r:id="rId28"/>
    <sheet name="Client 18" sheetId="42830" r:id="rId29"/>
    <sheet name="Client 19" sheetId="42831" r:id="rId30"/>
    <sheet name="Client 20" sheetId="42832" r:id="rId31"/>
    <sheet name="Pharmaceutical Review" sheetId="42835" r:id="rId32"/>
  </sheets>
  <externalReferences>
    <externalReference r:id="rId33"/>
    <externalReference r:id="rId34"/>
  </externalReferences>
  <definedNames>
    <definedName name="_Hlk74573897" localSheetId="0">'Confirm Ltr '!$A$13</definedName>
    <definedName name="ADDENDUM">Data!$A$91:$P$692</definedName>
    <definedName name="CLAIMS">Data!$B$91:$N$690</definedName>
    <definedName name="Consum_1" localSheetId="9">'[1]Chart Review Info'!$D$14</definedName>
    <definedName name="Consum_1" localSheetId="7">'[2]Chart Review Info'!$D$11</definedName>
    <definedName name="Consum_1">'Chart Review Info'!$D$14</definedName>
    <definedName name="Consum_10" localSheetId="9">'[1]Chart Review Info'!$D$23</definedName>
    <definedName name="Consum_10" localSheetId="7">'[2]Chart Review Info'!$D$20</definedName>
    <definedName name="Consum_10">'Chart Review Info'!$D$23</definedName>
    <definedName name="Consum_11" localSheetId="9">'[1]Chart Review Info'!$D$24</definedName>
    <definedName name="Consum_11" localSheetId="7">'[2]Chart Review Info'!$D$21</definedName>
    <definedName name="Consum_11">'Chart Review Info'!$D$24</definedName>
    <definedName name="Consum_12" localSheetId="9">'[1]Chart Review Info'!$D$25</definedName>
    <definedName name="Consum_12" localSheetId="7">'[2]Chart Review Info'!$D$22</definedName>
    <definedName name="Consum_12">'Chart Review Info'!$D$25</definedName>
    <definedName name="Consum_13" localSheetId="9">'[1]Chart Review Info'!$D$26</definedName>
    <definedName name="Consum_13" localSheetId="7">'[2]Chart Review Info'!$D$23</definedName>
    <definedName name="Consum_13">'Chart Review Info'!$D$26</definedName>
    <definedName name="Consum_14" localSheetId="9">'[1]Chart Review Info'!$D$27</definedName>
    <definedName name="Consum_14" localSheetId="7">'[2]Chart Review Info'!$D$24</definedName>
    <definedName name="Consum_14">'Chart Review Info'!$D$27</definedName>
    <definedName name="Consum_15" localSheetId="9">'[1]Chart Review Info'!$D$28</definedName>
    <definedName name="Consum_15" localSheetId="7">'[2]Chart Review Info'!$D$25</definedName>
    <definedName name="Consum_15">'Chart Review Info'!$D$28</definedName>
    <definedName name="Consum_16" localSheetId="9">'[1]Chart Review Info'!$D$29</definedName>
    <definedName name="Consum_16" localSheetId="7">'[2]Chart Review Info'!$D$26</definedName>
    <definedName name="Consum_16">'Chart Review Info'!$D$29</definedName>
    <definedName name="Consum_17" localSheetId="9">'[1]Chart Review Info'!$D$30</definedName>
    <definedName name="Consum_17" localSheetId="7">'[2]Chart Review Info'!$D$27</definedName>
    <definedName name="Consum_17">'Chart Review Info'!$D$30</definedName>
    <definedName name="Consum_18" localSheetId="9">'[1]Chart Review Info'!$D$31</definedName>
    <definedName name="Consum_18" localSheetId="7">'[2]Chart Review Info'!$D$28</definedName>
    <definedName name="Consum_18">'Chart Review Info'!$D$31</definedName>
    <definedName name="Consum_19" localSheetId="9">'[1]Chart Review Info'!$D$32</definedName>
    <definedName name="Consum_19" localSheetId="7">'[2]Chart Review Info'!$D$29</definedName>
    <definedName name="Consum_19">'Chart Review Info'!$D$32</definedName>
    <definedName name="Consum_2" localSheetId="9">'[1]Chart Review Info'!$D$15</definedName>
    <definedName name="Consum_2" localSheetId="7">'[2]Chart Review Info'!$D$12</definedName>
    <definedName name="Consum_2">'Chart Review Info'!$D$15</definedName>
    <definedName name="Consum_20" localSheetId="9">'[1]Chart Review Info'!$D$33</definedName>
    <definedName name="Consum_20" localSheetId="7">'[2]Chart Review Info'!$D$30</definedName>
    <definedName name="Consum_20">'Chart Review Info'!$D$33</definedName>
    <definedName name="Consum_3" localSheetId="9">'[1]Chart Review Info'!$D$16</definedName>
    <definedName name="Consum_3" localSheetId="7">'[2]Chart Review Info'!$D$13</definedName>
    <definedName name="Consum_3">'Chart Review Info'!$D$16</definedName>
    <definedName name="Consum_4" localSheetId="9">'[1]Chart Review Info'!$D$17</definedName>
    <definedName name="Consum_4" localSheetId="7">'[2]Chart Review Info'!$D$14</definedName>
    <definedName name="Consum_4">'Chart Review Info'!$D$17</definedName>
    <definedName name="Consum_5" localSheetId="9">'[1]Chart Review Info'!$D$18</definedName>
    <definedName name="Consum_5" localSheetId="7">'[2]Chart Review Info'!$D$15</definedName>
    <definedName name="Consum_5">'Chart Review Info'!$D$18</definedName>
    <definedName name="Consum_6" localSheetId="9">'[1]Chart Review Info'!$D$19</definedName>
    <definedName name="Consum_6" localSheetId="7">'[2]Chart Review Info'!$D$16</definedName>
    <definedName name="Consum_6">'Chart Review Info'!$D$19</definedName>
    <definedName name="Consum_7" localSheetId="9">'[1]Chart Review Info'!$D$20</definedName>
    <definedName name="Consum_7" localSheetId="7">'[2]Chart Review Info'!$D$17</definedName>
    <definedName name="Consum_7">'Chart Review Info'!$D$20</definedName>
    <definedName name="Consum_8" localSheetId="9">'[1]Chart Review Info'!$D$21</definedName>
    <definedName name="Consum_8" localSheetId="7">'[2]Chart Review Info'!$D$18</definedName>
    <definedName name="Consum_8">'Chart Review Info'!$D$21</definedName>
    <definedName name="Consum_9" localSheetId="9">'[1]Chart Review Info'!$D$22</definedName>
    <definedName name="Consum_9" localSheetId="7">'[2]Chart Review Info'!$D$19</definedName>
    <definedName name="Consum_9">'Chart Review Info'!$D$22</definedName>
    <definedName name="Corrected_Codes" localSheetId="20">CORRECTIONCODES[Full]</definedName>
    <definedName name="Corrected_Codes" localSheetId="21">CORRECTIONCODES[Full]</definedName>
    <definedName name="Corrected_Codes" localSheetId="22">CORRECTIONCODES[Full]</definedName>
    <definedName name="Corrected_Codes" localSheetId="23">CORRECTIONCODES[Full]</definedName>
    <definedName name="Corrected_Codes" localSheetId="24">CORRECTIONCODES[Full]</definedName>
    <definedName name="Corrected_Codes" localSheetId="25">CORRECTIONCODES[Full]</definedName>
    <definedName name="Corrected_Codes" localSheetId="26">CORRECTIONCODES[Full]</definedName>
    <definedName name="Corrected_Codes" localSheetId="27">CORRECTIONCODES[Full]</definedName>
    <definedName name="Corrected_Codes" localSheetId="28">CORRECTIONCODES[Full]</definedName>
    <definedName name="Corrected_Codes" localSheetId="29">CORRECTIONCODES[Full]</definedName>
    <definedName name="Corrected_Codes" localSheetId="12">CORRECTIONCODES[Full]</definedName>
    <definedName name="Corrected_Codes" localSheetId="30">CORRECTIONCODES[Full]</definedName>
    <definedName name="Corrected_Codes" localSheetId="13">CORRECTIONCODES[Full]</definedName>
    <definedName name="Corrected_Codes" localSheetId="14">CORRECTIONCODES[Full]</definedName>
    <definedName name="Corrected_Codes" localSheetId="15">CORRECTIONCODES[Full]</definedName>
    <definedName name="Corrected_Codes" localSheetId="16">CORRECTIONCODES[Full]</definedName>
    <definedName name="Corrected_Codes" localSheetId="17">CORRECTIONCODES[Full]</definedName>
    <definedName name="Corrected_Codes" localSheetId="18">CORRECTIONCODES[Full]</definedName>
    <definedName name="Corrected_Codes" localSheetId="19">CORRECTIONCODES[Full]</definedName>
    <definedName name="Corrected_Codes" localSheetId="9">[1]!CORRECTIONCODES[Full]</definedName>
    <definedName name="Corrected_Codes" localSheetId="7">[2]!CORRECTIONCODES[Full]</definedName>
    <definedName name="Corrected_Codes">CORRECTIONCODES[Full]</definedName>
    <definedName name="Disallowance_Codes" localSheetId="20">DISALLOWANCE[Full]</definedName>
    <definedName name="Disallowance_Codes" localSheetId="21">DISALLOWANCE[Full]</definedName>
    <definedName name="Disallowance_Codes" localSheetId="22">DISALLOWANCE[Full]</definedName>
    <definedName name="Disallowance_Codes" localSheetId="23">DISALLOWANCE[Full]</definedName>
    <definedName name="Disallowance_Codes" localSheetId="24">DISALLOWANCE[Full]</definedName>
    <definedName name="Disallowance_Codes" localSheetId="25">DISALLOWANCE[Full]</definedName>
    <definedName name="Disallowance_Codes" localSheetId="26">DISALLOWANCE[Full]</definedName>
    <definedName name="Disallowance_Codes" localSheetId="27">DISALLOWANCE[Full]</definedName>
    <definedName name="Disallowance_Codes" localSheetId="28">DISALLOWANCE[Full]</definedName>
    <definedName name="Disallowance_Codes" localSheetId="29">DISALLOWANCE[Full]</definedName>
    <definedName name="Disallowance_Codes" localSheetId="12">DISALLOWANCE[Full]</definedName>
    <definedName name="Disallowance_Codes" localSheetId="30">DISALLOWANCE[Full]</definedName>
    <definedName name="Disallowance_Codes" localSheetId="13">DISALLOWANCE[Full]</definedName>
    <definedName name="Disallowance_Codes" localSheetId="14">DISALLOWANCE[Full]</definedName>
    <definedName name="Disallowance_Codes" localSheetId="15">DISALLOWANCE[Full]</definedName>
    <definedName name="Disallowance_Codes" localSheetId="16">DISALLOWANCE[Full]</definedName>
    <definedName name="Disallowance_Codes" localSheetId="17">DISALLOWANCE[Full]</definedName>
    <definedName name="Disallowance_Codes" localSheetId="18">DISALLOWANCE[Full]</definedName>
    <definedName name="Disallowance_Codes" localSheetId="19">DISALLOWANCE[Full]</definedName>
    <definedName name="Disallowance_Codes" localSheetId="9">[1]!DISALLOWANCE[Full]</definedName>
    <definedName name="Disallowance_Codes" localSheetId="7">[2]!DISALLOWANCE[Full]</definedName>
    <definedName name="Disallowance_Codes">DISALLOWANCE[Full]</definedName>
    <definedName name="DOB_1" localSheetId="9">'[1]Chart Review Info'!#REF!</definedName>
    <definedName name="DOB_1">'Chart Review Info'!#REF!</definedName>
    <definedName name="DOB_10" localSheetId="9">'[1]Chart Review Info'!#REF!</definedName>
    <definedName name="DOB_10">'Chart Review Info'!#REF!</definedName>
    <definedName name="DOB_11" localSheetId="9">'[1]Chart Review Info'!#REF!</definedName>
    <definedName name="DOB_11">'Chart Review Info'!#REF!</definedName>
    <definedName name="DOB_12" localSheetId="9">'[1]Chart Review Info'!#REF!</definedName>
    <definedName name="DOB_12">'Chart Review Info'!#REF!</definedName>
    <definedName name="DOB_13" localSheetId="9">'[1]Chart Review Info'!#REF!</definedName>
    <definedName name="DOB_13">'Chart Review Info'!#REF!</definedName>
    <definedName name="DOB_14" localSheetId="9">'[1]Chart Review Info'!#REF!</definedName>
    <definedName name="DOB_14">'Chart Review Info'!#REF!</definedName>
    <definedName name="DOB_15" localSheetId="9">'[1]Chart Review Info'!#REF!</definedName>
    <definedName name="DOB_15">'Chart Review Info'!#REF!</definedName>
    <definedName name="DOB_16" localSheetId="9">'[1]Chart Review Info'!#REF!</definedName>
    <definedName name="DOB_16">'Chart Review Info'!#REF!</definedName>
    <definedName name="DOB_17" localSheetId="9">'[1]Chart Review Info'!#REF!</definedName>
    <definedName name="DOB_17">'Chart Review Info'!#REF!</definedName>
    <definedName name="DOB_18" localSheetId="9">'[1]Chart Review Info'!#REF!</definedName>
    <definedName name="DOB_18">'Chart Review Info'!#REF!</definedName>
    <definedName name="DOB_19" localSheetId="9">'[1]Chart Review Info'!#REF!</definedName>
    <definedName name="DOB_19">'Chart Review Info'!#REF!</definedName>
    <definedName name="DOB_2" localSheetId="9">'[1]Chart Review Info'!#REF!</definedName>
    <definedName name="DOB_2">'Chart Review Info'!#REF!</definedName>
    <definedName name="DOB_20" localSheetId="9">'[1]Chart Review Info'!#REF!</definedName>
    <definedName name="DOB_20">'Chart Review Info'!#REF!</definedName>
    <definedName name="DOB_3" localSheetId="9">'[1]Chart Review Info'!#REF!</definedName>
    <definedName name="DOB_3">'Chart Review Info'!#REF!</definedName>
    <definedName name="DOB_4" localSheetId="9">'[1]Chart Review Info'!#REF!</definedName>
    <definedName name="DOB_4">'Chart Review Info'!#REF!</definedName>
    <definedName name="DOB_5" localSheetId="9">'[1]Chart Review Info'!#REF!</definedName>
    <definedName name="DOB_5">'Chart Review Info'!#REF!</definedName>
    <definedName name="DOB_6" localSheetId="9">'[1]Chart Review Info'!#REF!</definedName>
    <definedName name="DOB_6">'Chart Review Info'!#REF!</definedName>
    <definedName name="DOB_7" localSheetId="9">'[1]Chart Review Info'!#REF!</definedName>
    <definedName name="DOB_7">'Chart Review Info'!#REF!</definedName>
    <definedName name="DOB_8" localSheetId="9">'[1]Chart Review Info'!#REF!</definedName>
    <definedName name="DOB_8">'Chart Review Info'!#REF!</definedName>
    <definedName name="DOB_9" localSheetId="9">'[1]Chart Review Info'!#REF!</definedName>
    <definedName name="DOB_9">'Chart Review Info'!#REF!</definedName>
    <definedName name="Episode_1" localSheetId="9">'[1]Chart Review Info'!#REF!</definedName>
    <definedName name="Episode_1" localSheetId="7">'[2]Chart Review Info'!#REF!</definedName>
    <definedName name="Episode_1">'Chart Review Info'!#REF!</definedName>
    <definedName name="Episode_10" localSheetId="9">'[1]Chart Review Info'!#REF!</definedName>
    <definedName name="Episode_10" localSheetId="7">'[2]Chart Review Info'!#REF!</definedName>
    <definedName name="Episode_10">'Chart Review Info'!#REF!</definedName>
    <definedName name="Episode_11" localSheetId="9">'[1]Chart Review Info'!#REF!</definedName>
    <definedName name="Episode_11" localSheetId="7">'[2]Chart Review Info'!#REF!</definedName>
    <definedName name="Episode_11">'Chart Review Info'!#REF!</definedName>
    <definedName name="Episode_12" localSheetId="9">'[1]Chart Review Info'!#REF!</definedName>
    <definedName name="Episode_12" localSheetId="7">'[2]Chart Review Info'!#REF!</definedName>
    <definedName name="Episode_12">'Chart Review Info'!#REF!</definedName>
    <definedName name="Episode_13" localSheetId="9">'[1]Chart Review Info'!#REF!</definedName>
    <definedName name="Episode_13" localSheetId="7">'[2]Chart Review Info'!#REF!</definedName>
    <definedName name="Episode_13">'Chart Review Info'!#REF!</definedName>
    <definedName name="Episode_14" localSheetId="9">'[1]Chart Review Info'!#REF!</definedName>
    <definedName name="Episode_14" localSheetId="7">'[2]Chart Review Info'!#REF!</definedName>
    <definedName name="Episode_14">'Chart Review Info'!#REF!</definedName>
    <definedName name="Episode_15" localSheetId="9">'[1]Chart Review Info'!#REF!</definedName>
    <definedName name="Episode_15" localSheetId="7">'[2]Chart Review Info'!#REF!</definedName>
    <definedName name="Episode_15">'Chart Review Info'!#REF!</definedName>
    <definedName name="Episode_16" localSheetId="9">'[1]Chart Review Info'!#REF!</definedName>
    <definedName name="Episode_16" localSheetId="7">'[2]Chart Review Info'!#REF!</definedName>
    <definedName name="Episode_16">'Chart Review Info'!#REF!</definedName>
    <definedName name="Episode_17" localSheetId="9">'[1]Chart Review Info'!#REF!</definedName>
    <definedName name="Episode_17" localSheetId="7">'[2]Chart Review Info'!#REF!</definedName>
    <definedName name="Episode_17">'Chart Review Info'!#REF!</definedName>
    <definedName name="Episode_18" localSheetId="9">'[1]Chart Review Info'!#REF!</definedName>
    <definedName name="Episode_18" localSheetId="7">'[2]Chart Review Info'!#REF!</definedName>
    <definedName name="Episode_18">'Chart Review Info'!#REF!</definedName>
    <definedName name="Episode_19" localSheetId="9">'[1]Chart Review Info'!#REF!</definedName>
    <definedName name="Episode_19" localSheetId="7">'[2]Chart Review Info'!#REF!</definedName>
    <definedName name="Episode_19">'Chart Review Info'!#REF!</definedName>
    <definedName name="Episode_2" localSheetId="9">'[1]Chart Review Info'!#REF!</definedName>
    <definedName name="Episode_2" localSheetId="7">'[2]Chart Review Info'!#REF!</definedName>
    <definedName name="Episode_2">'Chart Review Info'!#REF!</definedName>
    <definedName name="Episode_20" localSheetId="9">'[1]Chart Review Info'!#REF!</definedName>
    <definedName name="Episode_20" localSheetId="7">'[2]Chart Review Info'!#REF!</definedName>
    <definedName name="Episode_20">'Chart Review Info'!#REF!</definedName>
    <definedName name="Episode_3" localSheetId="9">'[1]Chart Review Info'!#REF!</definedName>
    <definedName name="Episode_3" localSheetId="7">'[2]Chart Review Info'!#REF!</definedName>
    <definedName name="Episode_3">'Chart Review Info'!#REF!</definedName>
    <definedName name="Episode_4" localSheetId="9">'[1]Chart Review Info'!#REF!</definedName>
    <definedName name="Episode_4" localSheetId="7">'[2]Chart Review Info'!#REF!</definedName>
    <definedName name="Episode_4">'Chart Review Info'!#REF!</definedName>
    <definedName name="Episode_5" localSheetId="9">'[1]Chart Review Info'!#REF!</definedName>
    <definedName name="Episode_5" localSheetId="7">'[2]Chart Review Info'!#REF!</definedName>
    <definedName name="Episode_5">'Chart Review Info'!#REF!</definedName>
    <definedName name="Episode_6" localSheetId="9">'[1]Chart Review Info'!#REF!</definedName>
    <definedName name="Episode_6" localSheetId="7">'[2]Chart Review Info'!#REF!</definedName>
    <definedName name="Episode_6">'Chart Review Info'!#REF!</definedName>
    <definedName name="Episode_7" localSheetId="9">'[1]Chart Review Info'!#REF!</definedName>
    <definedName name="Episode_7" localSheetId="7">'[2]Chart Review Info'!#REF!</definedName>
    <definedName name="Episode_7">'Chart Review Info'!#REF!</definedName>
    <definedName name="Episode_8" localSheetId="9">'[1]Chart Review Info'!#REF!</definedName>
    <definedName name="Episode_8" localSheetId="7">'[2]Chart Review Info'!#REF!</definedName>
    <definedName name="Episode_8">'Chart Review Info'!#REF!</definedName>
    <definedName name="Episode_9" localSheetId="9">'[1]Chart Review Info'!#REF!</definedName>
    <definedName name="Episode_9" localSheetId="7">'[2]Chart Review Info'!#REF!</definedName>
    <definedName name="Episode_9">'Chart Review Info'!#REF!</definedName>
    <definedName name="FINDINGS">Data!$S$96:$CD$116</definedName>
    <definedName name="MRN_1" localSheetId="9">'[1]Chart Review Info'!$C$14</definedName>
    <definedName name="MRN_1" localSheetId="7">'[2]Chart Review Info'!$C$11</definedName>
    <definedName name="MRN_1">'Chart Review Info'!$C$14</definedName>
    <definedName name="MRN_10" localSheetId="9">'[1]Chart Review Info'!$C$23</definedName>
    <definedName name="MRN_10" localSheetId="7">'[2]Chart Review Info'!$C$20</definedName>
    <definedName name="MRN_10">'Chart Review Info'!$C$23</definedName>
    <definedName name="MRN_11" localSheetId="9">'[1]Chart Review Info'!$C$24</definedName>
    <definedName name="MRN_11" localSheetId="7">'[2]Chart Review Info'!$C$21</definedName>
    <definedName name="MRN_11">'Chart Review Info'!$C$24</definedName>
    <definedName name="MRN_12" localSheetId="9">'[1]Chart Review Info'!$C$25</definedName>
    <definedName name="MRN_12" localSheetId="7">'[2]Chart Review Info'!$C$22</definedName>
    <definedName name="MRN_12">'Chart Review Info'!$C$25</definedName>
    <definedName name="MRN_13" localSheetId="9">'[1]Chart Review Info'!$C$26</definedName>
    <definedName name="MRN_13" localSheetId="7">'[2]Chart Review Info'!$C$23</definedName>
    <definedName name="MRN_13">'Chart Review Info'!$C$26</definedName>
    <definedName name="MRN_14" localSheetId="9">'[1]Chart Review Info'!$C$27</definedName>
    <definedName name="MRN_14" localSheetId="7">'[2]Chart Review Info'!$C$24</definedName>
    <definedName name="MRN_14">'Chart Review Info'!$C$27</definedName>
    <definedName name="MRN_15" localSheetId="9">'[1]Chart Review Info'!$C$28</definedName>
    <definedName name="MRN_15" localSheetId="7">'[2]Chart Review Info'!$C$25</definedName>
    <definedName name="MRN_15">'Chart Review Info'!$C$28</definedName>
    <definedName name="MRN_16" localSheetId="9">'[1]Chart Review Info'!$C$29</definedName>
    <definedName name="MRN_16" localSheetId="7">'[2]Chart Review Info'!$C$26</definedName>
    <definedName name="MRN_16">'Chart Review Info'!$C$29</definedName>
    <definedName name="MRN_17" localSheetId="9">'[1]Chart Review Info'!$C$30</definedName>
    <definedName name="MRN_17" localSheetId="7">'[2]Chart Review Info'!$C$27</definedName>
    <definedName name="MRN_17">'Chart Review Info'!$C$30</definedName>
    <definedName name="MRN_18" localSheetId="9">'[1]Chart Review Info'!$C$31</definedName>
    <definedName name="MRN_18" localSheetId="7">'[2]Chart Review Info'!$C$28</definedName>
    <definedName name="MRN_18">'Chart Review Info'!$C$31</definedName>
    <definedName name="MRN_19" localSheetId="9">'[1]Chart Review Info'!$C$32</definedName>
    <definedName name="MRN_19" localSheetId="7">'[2]Chart Review Info'!$C$29</definedName>
    <definedName name="MRN_19">'Chart Review Info'!$C$32</definedName>
    <definedName name="MRN_2" localSheetId="9">'[1]Chart Review Info'!$C$15</definedName>
    <definedName name="MRN_2" localSheetId="7">'[2]Chart Review Info'!$C$12</definedName>
    <definedName name="MRN_2">'Chart Review Info'!$C$15</definedName>
    <definedName name="MRN_20" localSheetId="9">'[1]Chart Review Info'!$C$33</definedName>
    <definedName name="MRN_20" localSheetId="7">'[2]Chart Review Info'!$C$30</definedName>
    <definedName name="MRN_20">'Chart Review Info'!$C$33</definedName>
    <definedName name="MRN_3" localSheetId="9">'[1]Chart Review Info'!$C$16</definedName>
    <definedName name="MRN_3" localSheetId="7">'[2]Chart Review Info'!$C$13</definedName>
    <definedName name="MRN_3">'Chart Review Info'!$C$16</definedName>
    <definedName name="MRN_4" localSheetId="9">'[1]Chart Review Info'!$C$17</definedName>
    <definedName name="MRN_4" localSheetId="7">'[2]Chart Review Info'!$C$14</definedName>
    <definedName name="MRN_4">'Chart Review Info'!$C$17</definedName>
    <definedName name="MRN_5" localSheetId="9">'[1]Chart Review Info'!$C$18</definedName>
    <definedName name="MRN_5" localSheetId="7">'[2]Chart Review Info'!$C$15</definedName>
    <definedName name="MRN_5">'Chart Review Info'!$C$18</definedName>
    <definedName name="MRN_6" localSheetId="9">'[1]Chart Review Info'!$C$19</definedName>
    <definedName name="MRN_6" localSheetId="7">'[2]Chart Review Info'!$C$16</definedName>
    <definedName name="MRN_6">'Chart Review Info'!$C$19</definedName>
    <definedName name="MRN_7" localSheetId="9">'[1]Chart Review Info'!$C$20</definedName>
    <definedName name="MRN_7" localSheetId="7">'[2]Chart Review Info'!$C$17</definedName>
    <definedName name="MRN_7">'Chart Review Info'!$C$20</definedName>
    <definedName name="MRN_8" localSheetId="9">'[1]Chart Review Info'!$C$21</definedName>
    <definedName name="MRN_8" localSheetId="7">'[2]Chart Review Info'!$C$18</definedName>
    <definedName name="MRN_8">'Chart Review Info'!$C$21</definedName>
    <definedName name="MRN_9" localSheetId="9">'[1]Chart Review Info'!$C$22</definedName>
    <definedName name="MRN_9" localSheetId="7">'[2]Chart Review Info'!$C$19</definedName>
    <definedName name="MRN_9">'Chart Review Info'!$C$22</definedName>
    <definedName name="NCOS" localSheetId="9">'[1]Chart Review Info'!#REF!</definedName>
    <definedName name="NCOS" localSheetId="7">'[2]Chart Review Info'!#REF!</definedName>
    <definedName name="NCOS">'Chart Review Info'!#REF!</definedName>
    <definedName name="OLE_LINK1" localSheetId="0">'Confirm Ltr '!$A$1</definedName>
    <definedName name="OLE_LINK1" localSheetId="1">'Results Ltr'!$A$1</definedName>
    <definedName name="Org_Name" localSheetId="9">'[1]Chart Review Info'!#REF!</definedName>
    <definedName name="Org_Name" localSheetId="7">'[2]Chart Review Info'!$D$3</definedName>
    <definedName name="Org_Name">'Chart Review Info'!#REF!</definedName>
    <definedName name="Period_End" localSheetId="9">'[1]Chart Review Info'!#REF!</definedName>
    <definedName name="Period_End" localSheetId="7">'[2]Chart Review Info'!$H$5</definedName>
    <definedName name="Period_End">'Chart Review Info'!#REF!</definedName>
    <definedName name="Period_Start" localSheetId="9">'[1]Chart Review Info'!#REF!</definedName>
    <definedName name="Period_Start" localSheetId="7">'[2]Chart Review Info'!$H$4</definedName>
    <definedName name="Period_Start">'Chart Review Info'!#REF!</definedName>
    <definedName name="_xlnm.Print_Area" localSheetId="10">'Additional Services'!$A$1:$O$33</definedName>
    <definedName name="_xlnm.Print_Area" localSheetId="2">'Chart Review Info'!$B$1:$I$34</definedName>
    <definedName name="_xlnm.Print_Area" localSheetId="11">'Client 1'!$C$1:$AC$84</definedName>
    <definedName name="_xlnm.Print_Area" localSheetId="20">'Client 10'!$C$1:$AB$85</definedName>
    <definedName name="_xlnm.Print_Area" localSheetId="21">'Client 11'!$C$1:$AB$85</definedName>
    <definedName name="_xlnm.Print_Area" localSheetId="22">'Client 12'!$C$1:$AB$85</definedName>
    <definedName name="_xlnm.Print_Area" localSheetId="23">'Client 13'!$C$1:$AB$85</definedName>
    <definedName name="_xlnm.Print_Area" localSheetId="24">'Client 14'!$C$1:$AB$85</definedName>
    <definedName name="_xlnm.Print_Area" localSheetId="25">'Client 15'!$C$1:$AB$85</definedName>
    <definedName name="_xlnm.Print_Area" localSheetId="26">'Client 16'!$C$1:$AB$85</definedName>
    <definedName name="_xlnm.Print_Area" localSheetId="27">'Client 17'!$C$1:$AB$85</definedName>
    <definedName name="_xlnm.Print_Area" localSheetId="28">'Client 18'!$C$1:$AB$85</definedName>
    <definedName name="_xlnm.Print_Area" localSheetId="29">'Client 19'!$C$1:$AB$85</definedName>
    <definedName name="_xlnm.Print_Area" localSheetId="12">'Client 2'!$C$1:$AC$83</definedName>
    <definedName name="_xlnm.Print_Area" localSheetId="30">'Client 20'!$C$1:$AB$85</definedName>
    <definedName name="_xlnm.Print_Area" localSheetId="13">'Client 3'!$C$1:$AC$85</definedName>
    <definedName name="_xlnm.Print_Area" localSheetId="14">'Client 4'!$C$1:$AB$85</definedName>
    <definedName name="_xlnm.Print_Area" localSheetId="15">'Client 5'!$C$1:$AB$80</definedName>
    <definedName name="_xlnm.Print_Area" localSheetId="16">'Client 6'!$C$1:$AB$85</definedName>
    <definedName name="_xlnm.Print_Area" localSheetId="17">'Client 7'!$C$1:$AB$85</definedName>
    <definedName name="_xlnm.Print_Area" localSheetId="18">'Client 8'!$C$1:$AB$85</definedName>
    <definedName name="_xlnm.Print_Area" localSheetId="19">'Client 9'!$C$1:$AB$85</definedName>
    <definedName name="_xlnm.Print_Area" localSheetId="0">'Confirm Ltr '!$A$1:$A$15</definedName>
    <definedName name="_xlnm.Print_Area" localSheetId="8">Data!$A$1:$CF$692</definedName>
    <definedName name="_xlnm.Print_Area" localSheetId="5">'Provider Compliance'!$A$1:$P$14</definedName>
    <definedName name="_xlnm.Print_Area" localSheetId="1">'Results Ltr'!$A$1:$A$47</definedName>
    <definedName name="_xlnm.Print_Area" localSheetId="3">'Review Results'!$C$1:$M$112</definedName>
    <definedName name="_xlnm.Print_Area" localSheetId="4">'Services Change Summary'!$A$1:$T$53</definedName>
    <definedName name="_xlnm.Print_Area" localSheetId="7">Validations!$A$1:$K$54</definedName>
    <definedName name="_xlnm.Print_Titles" localSheetId="11">'Client 1'!$1:$4</definedName>
    <definedName name="_xlnm.Print_Titles" localSheetId="20">'Client 10'!$1:$4</definedName>
    <definedName name="_xlnm.Print_Titles" localSheetId="21">'Client 11'!$1:$4</definedName>
    <definedName name="_xlnm.Print_Titles" localSheetId="22">'Client 12'!$1:$4</definedName>
    <definedName name="_xlnm.Print_Titles" localSheetId="23">'Client 13'!$1:$4</definedName>
    <definedName name="_xlnm.Print_Titles" localSheetId="24">'Client 14'!$1:$4</definedName>
    <definedName name="_xlnm.Print_Titles" localSheetId="25">'Client 15'!$1:$4</definedName>
    <definedName name="_xlnm.Print_Titles" localSheetId="26">'Client 16'!$1:$4</definedName>
    <definedName name="_xlnm.Print_Titles" localSheetId="27">'Client 17'!$1:$4</definedName>
    <definedName name="_xlnm.Print_Titles" localSheetId="28">'Client 18'!$1:$4</definedName>
    <definedName name="_xlnm.Print_Titles" localSheetId="29">'Client 19'!$1:$4</definedName>
    <definedName name="_xlnm.Print_Titles" localSheetId="12">'Client 2'!$1:$4</definedName>
    <definedName name="_xlnm.Print_Titles" localSheetId="30">'Client 20'!$1:$4</definedName>
    <definedName name="_xlnm.Print_Titles" localSheetId="13">'Client 3'!$1:$4</definedName>
    <definedName name="_xlnm.Print_Titles" localSheetId="14">'Client 4'!$1:$4</definedName>
    <definedName name="_xlnm.Print_Titles" localSheetId="15">'Client 5'!$1:$4</definedName>
    <definedName name="_xlnm.Print_Titles" localSheetId="16">'Client 6'!$1:$4</definedName>
    <definedName name="_xlnm.Print_Titles" localSheetId="17">'Client 7'!$1:$4</definedName>
    <definedName name="_xlnm.Print_Titles" localSheetId="18">'Client 8'!$1:$4</definedName>
    <definedName name="_xlnm.Print_Titles" localSheetId="19">'Client 9'!$1:$4</definedName>
    <definedName name="Prog_1" localSheetId="9">'[1]Chart Review Info'!$F$14</definedName>
    <definedName name="Prog_1" localSheetId="7">'[2]Chart Review Info'!#REF!</definedName>
    <definedName name="Prog_1">'Chart Review Info'!$F$14</definedName>
    <definedName name="Prog_10" localSheetId="9">'[1]Chart Review Info'!$F$23</definedName>
    <definedName name="Prog_10" localSheetId="7">'[2]Chart Review Info'!#REF!</definedName>
    <definedName name="Prog_10">'Chart Review Info'!$F$23</definedName>
    <definedName name="Prog_11" localSheetId="9">'[1]Chart Review Info'!$F$24</definedName>
    <definedName name="Prog_11" localSheetId="7">'[2]Chart Review Info'!#REF!</definedName>
    <definedName name="Prog_11">'Chart Review Info'!$F$24</definedName>
    <definedName name="Prog_12" localSheetId="9">'[1]Chart Review Info'!$F$25</definedName>
    <definedName name="Prog_12" localSheetId="7">'[2]Chart Review Info'!#REF!</definedName>
    <definedName name="Prog_12">'Chart Review Info'!$F$25</definedName>
    <definedName name="Prog_13" localSheetId="9">'[1]Chart Review Info'!$F$26</definedName>
    <definedName name="Prog_13" localSheetId="7">'[2]Chart Review Info'!#REF!</definedName>
    <definedName name="Prog_13">'Chart Review Info'!$F$26</definedName>
    <definedName name="Prog_14" localSheetId="9">'[1]Chart Review Info'!$F$27</definedName>
    <definedName name="Prog_14" localSheetId="7">'[2]Chart Review Info'!#REF!</definedName>
    <definedName name="Prog_14">'Chart Review Info'!$F$27</definedName>
    <definedName name="Prog_15" localSheetId="9">'[1]Chart Review Info'!$F$28</definedName>
    <definedName name="Prog_15" localSheetId="7">'[2]Chart Review Info'!#REF!</definedName>
    <definedName name="Prog_15">'Chart Review Info'!$F$28</definedName>
    <definedName name="Prog_16" localSheetId="9">'[1]Chart Review Info'!$F$29</definedName>
    <definedName name="Prog_16" localSheetId="7">'[2]Chart Review Info'!#REF!</definedName>
    <definedName name="Prog_16">'Chart Review Info'!$F$29</definedName>
    <definedName name="Prog_17" localSheetId="9">'[1]Chart Review Info'!$F$30</definedName>
    <definedName name="Prog_17" localSheetId="7">'[2]Chart Review Info'!#REF!</definedName>
    <definedName name="Prog_17">'Chart Review Info'!$F$30</definedName>
    <definedName name="Prog_18" localSheetId="7">'[2]Chart Review Info'!#REF!</definedName>
    <definedName name="Prog_18">'Chart Review Info'!$F$31</definedName>
    <definedName name="Prog_19" localSheetId="7">'[2]Chart Review Info'!#REF!</definedName>
    <definedName name="Prog_19">'Chart Review Info'!$F$32</definedName>
    <definedName name="Prog_2" localSheetId="9">'[1]Chart Review Info'!$F$15</definedName>
    <definedName name="Prog_2" localSheetId="7">'[2]Chart Review Info'!#REF!</definedName>
    <definedName name="Prog_2">'Chart Review Info'!$F$15</definedName>
    <definedName name="Prog_20" localSheetId="9">'[1]Chart Review Info'!$F$33</definedName>
    <definedName name="Prog_20" localSheetId="7">'[2]Chart Review Info'!#REF!</definedName>
    <definedName name="Prog_20">'Chart Review Info'!$F$33</definedName>
    <definedName name="Prog_3" localSheetId="9">'[1]Chart Review Info'!$F$16</definedName>
    <definedName name="Prog_3" localSheetId="7">'[2]Chart Review Info'!#REF!</definedName>
    <definedName name="Prog_3">'Chart Review Info'!$F$16</definedName>
    <definedName name="Prog_4" localSheetId="9">'[1]Chart Review Info'!$F$17</definedName>
    <definedName name="Prog_4" localSheetId="7">'[2]Chart Review Info'!#REF!</definedName>
    <definedName name="Prog_4">'Chart Review Info'!$F$17</definedName>
    <definedName name="Prog_5" localSheetId="9">'[1]Chart Review Info'!$F$18</definedName>
    <definedName name="Prog_5" localSheetId="7">'[2]Chart Review Info'!#REF!</definedName>
    <definedName name="Prog_5">'Chart Review Info'!$F$18</definedName>
    <definedName name="Prog_6" localSheetId="9">'[1]Chart Review Info'!$F$19</definedName>
    <definedName name="Prog_6" localSheetId="7">'[2]Chart Review Info'!#REF!</definedName>
    <definedName name="Prog_6">'Chart Review Info'!$F$19</definedName>
    <definedName name="Prog_7" localSheetId="9">'[1]Chart Review Info'!$F$20</definedName>
    <definedName name="Prog_7" localSheetId="7">'[2]Chart Review Info'!#REF!</definedName>
    <definedName name="Prog_7">'Chart Review Info'!$F$20</definedName>
    <definedName name="Prog_8" localSheetId="9">'[1]Chart Review Info'!$F$21</definedName>
    <definedName name="Prog_8" localSheetId="7">'[2]Chart Review Info'!#REF!</definedName>
    <definedName name="Prog_8">'Chart Review Info'!$F$21</definedName>
    <definedName name="Prog_9" localSheetId="9">'[1]Chart Review Info'!$F$22</definedName>
    <definedName name="Prog_9" localSheetId="7">'[2]Chart Review Info'!#REF!</definedName>
    <definedName name="Prog_9">'Chart Review Info'!$F$22</definedName>
    <definedName name="Program" localSheetId="9">'[1]Chart Review Info'!#REF!</definedName>
    <definedName name="Program" localSheetId="7">'[2]Chart Review Info'!$D$4</definedName>
    <definedName name="Program">'Chart Review Info'!#REF!</definedName>
    <definedName name="Reviewer_1">'Client 1'!$N$2</definedName>
    <definedName name="Reviewer_10">'Chart Review Info'!$G$23</definedName>
    <definedName name="Reviewer_11">'Chart Review Info'!$G$24</definedName>
    <definedName name="Reviewer_12">'Chart Review Info'!$G$25</definedName>
    <definedName name="Reviewer_13">'Chart Review Info'!$G$26</definedName>
    <definedName name="Reviewer_14">'Chart Review Info'!$G$27</definedName>
    <definedName name="Reviewer_15">'Chart Review Info'!$G$28</definedName>
    <definedName name="Reviewer_16">'Chart Review Info'!$G$29</definedName>
    <definedName name="Reviewer_17">'Chart Review Info'!$G$30</definedName>
    <definedName name="Reviewer_18">'Chart Review Info'!$G$31</definedName>
    <definedName name="Reviewer_19">'Chart Review Info'!$G$32</definedName>
    <definedName name="Reviewer_2">'Chart Review Info'!$G$15</definedName>
    <definedName name="Reviewer_20">'Chart Review Info'!$G$33</definedName>
    <definedName name="Reviewer_3">'Chart Review Info'!$G$16</definedName>
    <definedName name="Reviewer_4">'Chart Review Info'!$G$17</definedName>
    <definedName name="Reviewer_5">'Chart Review Info'!$G$18</definedName>
    <definedName name="Reviewer_6">'Chart Review Info'!$G$19</definedName>
    <definedName name="Reviewer_7">'Chart Review Info'!$G$20</definedName>
    <definedName name="Reviewer_8">'Chart Review Info'!$G$21</definedName>
    <definedName name="Reviewer_9">'Chart Review Info'!$G$22</definedName>
    <definedName name="Services" localSheetId="9">'[1]Chart Review Info'!#REF!</definedName>
    <definedName name="Services" localSheetId="7">'[2]Chart Review Info'!$D$5</definedName>
    <definedName name="Services">'Chart Review Info'!#REF!</definedName>
  </definedNames>
  <calcPr calcId="191028"/>
  <pivotCaches>
    <pivotCache cacheId="1" r:id="rId3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8" i="42840" l="1"/>
  <c r="M8" i="42840"/>
  <c r="L8" i="42840"/>
  <c r="K8" i="42840"/>
  <c r="J8" i="42840"/>
  <c r="I8" i="42840"/>
  <c r="H8" i="42840"/>
  <c r="D8" i="42840"/>
  <c r="C8" i="42840"/>
  <c r="O3" i="42840"/>
  <c r="L3" i="42840"/>
  <c r="H3" i="42840"/>
  <c r="G3" i="42840"/>
  <c r="F3" i="42840"/>
  <c r="C3" i="42840"/>
  <c r="B3" i="42840"/>
  <c r="W123" i="42812"/>
  <c r="T123" i="42812"/>
  <c r="T90" i="42812"/>
  <c r="M29" i="42790"/>
  <c r="K29" i="42790"/>
  <c r="L29" i="42790"/>
  <c r="J29" i="42790"/>
  <c r="AL119" i="42812"/>
  <c r="U9" i="42790"/>
  <c r="Q9" i="42790"/>
  <c r="CD116" i="42812"/>
  <c r="CD115" i="42812"/>
  <c r="CD114" i="42812"/>
  <c r="CD113" i="42812"/>
  <c r="CD112" i="42812"/>
  <c r="CD111" i="42812"/>
  <c r="CD110" i="42812"/>
  <c r="CD109" i="42812"/>
  <c r="CD108" i="42812"/>
  <c r="CD107" i="42812"/>
  <c r="CD106" i="42812"/>
  <c r="CD105" i="42812"/>
  <c r="CD104" i="42812"/>
  <c r="CD103" i="42812"/>
  <c r="CD102" i="42812"/>
  <c r="CD101" i="42812"/>
  <c r="CD100" i="42812"/>
  <c r="CD99" i="42812"/>
  <c r="CD98" i="42812"/>
  <c r="CC116" i="42812"/>
  <c r="CC115" i="42812"/>
  <c r="CC114" i="42812"/>
  <c r="CC113" i="42812"/>
  <c r="CC112" i="42812"/>
  <c r="CC111" i="42812"/>
  <c r="CC110" i="42812"/>
  <c r="CC109" i="42812"/>
  <c r="CC108" i="42812"/>
  <c r="CC107" i="42812"/>
  <c r="CC106" i="42812"/>
  <c r="CC105" i="42812"/>
  <c r="CC104" i="42812"/>
  <c r="CC103" i="42812"/>
  <c r="CC102" i="42812"/>
  <c r="CC101" i="42812"/>
  <c r="CC100" i="42812"/>
  <c r="CC99" i="42812"/>
  <c r="CC98" i="42812"/>
  <c r="CB116" i="42812"/>
  <c r="CB115" i="42812"/>
  <c r="CB114" i="42812"/>
  <c r="CB113" i="42812"/>
  <c r="CB112" i="42812"/>
  <c r="CB111" i="42812"/>
  <c r="CB110" i="42812"/>
  <c r="CB109" i="42812"/>
  <c r="CB108" i="42812"/>
  <c r="CB107" i="42812"/>
  <c r="CB106" i="42812"/>
  <c r="CB105" i="42812"/>
  <c r="CB104" i="42812"/>
  <c r="CB103" i="42812"/>
  <c r="CB102" i="42812"/>
  <c r="CB101" i="42812"/>
  <c r="CB100" i="42812"/>
  <c r="CB99" i="42812"/>
  <c r="CB98" i="42812"/>
  <c r="AP116" i="42812"/>
  <c r="AP115" i="42812"/>
  <c r="AP114" i="42812"/>
  <c r="AP113" i="42812"/>
  <c r="AP112" i="42812"/>
  <c r="AP111" i="42812"/>
  <c r="AP110" i="42812"/>
  <c r="AP109" i="42812"/>
  <c r="AP108" i="42812"/>
  <c r="AP107" i="42812"/>
  <c r="AP106" i="42812"/>
  <c r="AP105" i="42812"/>
  <c r="AP104" i="42812"/>
  <c r="AP103" i="42812"/>
  <c r="AP102" i="42812"/>
  <c r="AP101" i="42812"/>
  <c r="AP100" i="42812"/>
  <c r="AP99" i="42812"/>
  <c r="AP98" i="42812"/>
  <c r="AO116" i="42812"/>
  <c r="AO115" i="42812"/>
  <c r="AO114" i="42812"/>
  <c r="AO113" i="42812"/>
  <c r="AO112" i="42812"/>
  <c r="AO111" i="42812"/>
  <c r="AO110" i="42812"/>
  <c r="AO109" i="42812"/>
  <c r="AO108" i="42812"/>
  <c r="AO107" i="42812"/>
  <c r="AO106" i="42812"/>
  <c r="AO105" i="42812"/>
  <c r="AO104" i="42812"/>
  <c r="AO103" i="42812"/>
  <c r="AO102" i="42812"/>
  <c r="AO101" i="42812"/>
  <c r="AO100" i="42812"/>
  <c r="AO99" i="42812"/>
  <c r="AO98" i="42812"/>
  <c r="AN116" i="42812"/>
  <c r="AN115" i="42812"/>
  <c r="AN114" i="42812"/>
  <c r="AN113" i="42812"/>
  <c r="AN112" i="42812"/>
  <c r="AN111" i="42812"/>
  <c r="AN110" i="42812"/>
  <c r="AN109" i="42812"/>
  <c r="AN108" i="42812"/>
  <c r="AN107" i="42812"/>
  <c r="AN106" i="42812"/>
  <c r="AN105" i="42812"/>
  <c r="AN104" i="42812"/>
  <c r="AN103" i="42812"/>
  <c r="AN102" i="42812"/>
  <c r="AN101" i="42812"/>
  <c r="AN100" i="42812"/>
  <c r="AN99" i="42812"/>
  <c r="AN98" i="42812"/>
  <c r="AM116" i="42812"/>
  <c r="AM115" i="42812"/>
  <c r="AM114" i="42812"/>
  <c r="AM113" i="42812"/>
  <c r="AM112" i="42812"/>
  <c r="AM111" i="42812"/>
  <c r="AM110" i="42812"/>
  <c r="AM109" i="42812"/>
  <c r="AM108" i="42812"/>
  <c r="AM107" i="42812"/>
  <c r="AM106" i="42812"/>
  <c r="AM105" i="42812"/>
  <c r="AM104" i="42812"/>
  <c r="AM103" i="42812"/>
  <c r="AM102" i="42812"/>
  <c r="AM101" i="42812"/>
  <c r="AM100" i="42812"/>
  <c r="AM99" i="42812"/>
  <c r="AM98" i="42812"/>
  <c r="D56" i="42790"/>
  <c r="AC53" i="42812"/>
  <c r="AC52" i="42812"/>
  <c r="AC51" i="42812"/>
  <c r="AC50" i="42812"/>
  <c r="AC49" i="42812"/>
  <c r="AC48" i="42812"/>
  <c r="AC47" i="42812"/>
  <c r="AC46" i="42812"/>
  <c r="AC45" i="42812"/>
  <c r="AC44" i="42812"/>
  <c r="AC43" i="42812"/>
  <c r="AC42" i="42812"/>
  <c r="AC41" i="42812"/>
  <c r="AC40" i="42812"/>
  <c r="AC39" i="42812"/>
  <c r="AC38" i="42812"/>
  <c r="AC37" i="42812"/>
  <c r="AC36" i="42812"/>
  <c r="AC35" i="42812"/>
  <c r="AA53" i="42812"/>
  <c r="AA52" i="42812"/>
  <c r="AA51" i="42812"/>
  <c r="AA50" i="42812"/>
  <c r="AA49" i="42812"/>
  <c r="AA48" i="42812"/>
  <c r="AA47" i="42812"/>
  <c r="AA46" i="42812"/>
  <c r="AA45" i="42812"/>
  <c r="AA44" i="42812"/>
  <c r="AA43" i="42812"/>
  <c r="AA42" i="42812"/>
  <c r="AA41" i="42812"/>
  <c r="AA40" i="42812"/>
  <c r="AA39" i="42812"/>
  <c r="AA38" i="42812"/>
  <c r="AA37" i="42812"/>
  <c r="AA36" i="42812"/>
  <c r="AA35" i="42812"/>
  <c r="I53" i="42812"/>
  <c r="I52" i="42812"/>
  <c r="I51" i="42812"/>
  <c r="I50" i="42812"/>
  <c r="I49" i="42812"/>
  <c r="I48" i="42812"/>
  <c r="I47" i="42812"/>
  <c r="I46" i="42812"/>
  <c r="I45" i="42812"/>
  <c r="I44" i="42812"/>
  <c r="I43" i="42812"/>
  <c r="I42" i="42812"/>
  <c r="I41" i="42812"/>
  <c r="I40" i="42812"/>
  <c r="I39" i="42812"/>
  <c r="I38" i="42812"/>
  <c r="I37" i="42812"/>
  <c r="I36" i="42812"/>
  <c r="I35" i="42812"/>
  <c r="M53" i="42812"/>
  <c r="M52" i="42812"/>
  <c r="M51" i="42812"/>
  <c r="M50" i="42812"/>
  <c r="M49" i="42812"/>
  <c r="M48" i="42812"/>
  <c r="M47" i="42812"/>
  <c r="M46" i="42812"/>
  <c r="M45" i="42812"/>
  <c r="M44" i="42812"/>
  <c r="M43" i="42812"/>
  <c r="M42" i="42812"/>
  <c r="M41" i="42812"/>
  <c r="M40" i="42812"/>
  <c r="M39" i="42812"/>
  <c r="M38" i="42812"/>
  <c r="M37" i="42812"/>
  <c r="M36" i="42812"/>
  <c r="M35" i="42812"/>
  <c r="Q53" i="42812"/>
  <c r="Q52" i="42812"/>
  <c r="Q51" i="42812"/>
  <c r="Q50" i="42812"/>
  <c r="Q49" i="42812"/>
  <c r="Q48" i="42812"/>
  <c r="Q47" i="42812"/>
  <c r="Q46" i="42812"/>
  <c r="Q45" i="42812"/>
  <c r="Q44" i="42812"/>
  <c r="Q43" i="42812"/>
  <c r="Q42" i="42812"/>
  <c r="Q41" i="42812"/>
  <c r="Q40" i="42812"/>
  <c r="Q39" i="42812"/>
  <c r="Q38" i="42812"/>
  <c r="Q37" i="42812"/>
  <c r="Q36" i="42812"/>
  <c r="Q35" i="42812"/>
  <c r="U53" i="42812"/>
  <c r="U52" i="42812"/>
  <c r="U51" i="42812"/>
  <c r="U50" i="42812"/>
  <c r="U49" i="42812"/>
  <c r="U48" i="42812"/>
  <c r="U47" i="42812"/>
  <c r="U46" i="42812"/>
  <c r="U45" i="42812"/>
  <c r="U44" i="42812"/>
  <c r="U43" i="42812"/>
  <c r="U42" i="42812"/>
  <c r="U41" i="42812"/>
  <c r="U40" i="42812"/>
  <c r="U39" i="42812"/>
  <c r="U38" i="42812"/>
  <c r="U37" i="42812"/>
  <c r="U36" i="42812"/>
  <c r="U35" i="42812"/>
  <c r="W53" i="42812"/>
  <c r="W52" i="42812"/>
  <c r="W51" i="42812"/>
  <c r="W50" i="42812"/>
  <c r="W49" i="42812"/>
  <c r="W48" i="42812"/>
  <c r="W47" i="42812"/>
  <c r="W46" i="42812"/>
  <c r="W45" i="42812"/>
  <c r="W44" i="42812"/>
  <c r="W43" i="42812"/>
  <c r="W42" i="42812"/>
  <c r="W41" i="42812"/>
  <c r="W40" i="42812"/>
  <c r="W39" i="42812"/>
  <c r="W38" i="42812"/>
  <c r="W37" i="42812"/>
  <c r="W36" i="42812"/>
  <c r="W35" i="42812"/>
  <c r="S53" i="42812"/>
  <c r="S52" i="42812"/>
  <c r="S51" i="42812"/>
  <c r="S50" i="42812"/>
  <c r="S49" i="42812"/>
  <c r="S48" i="42812"/>
  <c r="S47" i="42812"/>
  <c r="S46" i="42812"/>
  <c r="S45" i="42812"/>
  <c r="S44" i="42812"/>
  <c r="S43" i="42812"/>
  <c r="S42" i="42812"/>
  <c r="S41" i="42812"/>
  <c r="S40" i="42812"/>
  <c r="S39" i="42812"/>
  <c r="S38" i="42812"/>
  <c r="S37" i="42812"/>
  <c r="S36" i="42812"/>
  <c r="S35" i="42812"/>
  <c r="O53" i="42812"/>
  <c r="O52" i="42812"/>
  <c r="O51" i="42812"/>
  <c r="O50" i="42812"/>
  <c r="O49" i="42812"/>
  <c r="O48" i="42812"/>
  <c r="O47" i="42812"/>
  <c r="O46" i="42812"/>
  <c r="O45" i="42812"/>
  <c r="O44" i="42812"/>
  <c r="O43" i="42812"/>
  <c r="O42" i="42812"/>
  <c r="O41" i="42812"/>
  <c r="O40" i="42812"/>
  <c r="O39" i="42812"/>
  <c r="O38" i="42812"/>
  <c r="O37" i="42812"/>
  <c r="O36" i="42812"/>
  <c r="O35" i="42812"/>
  <c r="K53" i="42812"/>
  <c r="K52" i="42812"/>
  <c r="K51" i="42812"/>
  <c r="K50" i="42812"/>
  <c r="K49" i="42812"/>
  <c r="K48" i="42812"/>
  <c r="K47" i="42812"/>
  <c r="K46" i="42812"/>
  <c r="K45" i="42812"/>
  <c r="K44" i="42812"/>
  <c r="K43" i="42812"/>
  <c r="K42" i="42812"/>
  <c r="K41" i="42812"/>
  <c r="K40" i="42812"/>
  <c r="K39" i="42812"/>
  <c r="K38" i="42812"/>
  <c r="K37" i="42812"/>
  <c r="K36" i="42812"/>
  <c r="K35" i="42812"/>
  <c r="G53" i="42812"/>
  <c r="G52" i="42812"/>
  <c r="G51" i="42812"/>
  <c r="G50" i="42812"/>
  <c r="G49" i="42812"/>
  <c r="G48" i="42812"/>
  <c r="G47" i="42812"/>
  <c r="G46" i="42812"/>
  <c r="G45" i="42812"/>
  <c r="G44" i="42812"/>
  <c r="G43" i="42812"/>
  <c r="G42" i="42812"/>
  <c r="G41" i="42812"/>
  <c r="G40" i="42812"/>
  <c r="G39" i="42812"/>
  <c r="G38" i="42812"/>
  <c r="G37" i="42812"/>
  <c r="G36" i="42812"/>
  <c r="G35" i="42812"/>
  <c r="E53" i="42812"/>
  <c r="E52" i="42812"/>
  <c r="E51" i="42812"/>
  <c r="E50" i="42812"/>
  <c r="E49" i="42812"/>
  <c r="E48" i="42812"/>
  <c r="E47" i="42812"/>
  <c r="E46" i="42812"/>
  <c r="E45" i="42812"/>
  <c r="E44" i="42812"/>
  <c r="E43" i="42812"/>
  <c r="E42" i="42812"/>
  <c r="E41" i="42812"/>
  <c r="E40" i="42812"/>
  <c r="E39" i="42812"/>
  <c r="E38" i="42812"/>
  <c r="E37" i="42812"/>
  <c r="C53" i="42812"/>
  <c r="C52" i="42812"/>
  <c r="C51" i="42812"/>
  <c r="C50" i="42812"/>
  <c r="C49" i="42812"/>
  <c r="C48" i="42812"/>
  <c r="C47" i="42812"/>
  <c r="C46" i="42812"/>
  <c r="C45" i="42812"/>
  <c r="C44" i="42812"/>
  <c r="C43" i="42812"/>
  <c r="C42" i="42812"/>
  <c r="C41" i="42812"/>
  <c r="C40" i="42812"/>
  <c r="C39" i="42812"/>
  <c r="C38" i="42812"/>
  <c r="C37" i="42812"/>
  <c r="C36" i="42812"/>
  <c r="C35" i="42812"/>
  <c r="P82" i="42832"/>
  <c r="P81" i="42832"/>
  <c r="P80" i="42832"/>
  <c r="P79" i="42832"/>
  <c r="P78" i="42832"/>
  <c r="P77" i="42832"/>
  <c r="P76" i="42832"/>
  <c r="P75" i="42832"/>
  <c r="P74" i="42832"/>
  <c r="P73" i="42832"/>
  <c r="P69" i="42832"/>
  <c r="P68" i="42832"/>
  <c r="P67" i="42832"/>
  <c r="P66" i="42832"/>
  <c r="P65" i="42832"/>
  <c r="P64" i="42832"/>
  <c r="P60" i="42832"/>
  <c r="P59" i="42832"/>
  <c r="P58" i="42832"/>
  <c r="P57" i="42832"/>
  <c r="P56" i="42832"/>
  <c r="P55" i="42832"/>
  <c r="P54" i="42832"/>
  <c r="P53" i="42832"/>
  <c r="P49" i="42832"/>
  <c r="P48" i="42832"/>
  <c r="P47" i="42832"/>
  <c r="P46" i="42832"/>
  <c r="P45" i="42832"/>
  <c r="P44" i="42832"/>
  <c r="P43" i="42832"/>
  <c r="P42" i="42832"/>
  <c r="P41" i="42832"/>
  <c r="P40" i="42832"/>
  <c r="P39" i="42832"/>
  <c r="N38" i="42832"/>
  <c r="P37" i="42832"/>
  <c r="P33" i="42832"/>
  <c r="P32" i="42832"/>
  <c r="P31" i="42832"/>
  <c r="P30" i="42832"/>
  <c r="P26" i="42832"/>
  <c r="P25" i="42832"/>
  <c r="P24" i="42832"/>
  <c r="P23" i="42832"/>
  <c r="P19" i="42832"/>
  <c r="P18" i="42832"/>
  <c r="P17" i="42832"/>
  <c r="P16" i="42832"/>
  <c r="P15" i="42832"/>
  <c r="P14" i="42832"/>
  <c r="P13" i="42832"/>
  <c r="P12" i="42832"/>
  <c r="P11" i="42832"/>
  <c r="P10" i="42832"/>
  <c r="P9" i="42832"/>
  <c r="P82" i="42831"/>
  <c r="P81" i="42831"/>
  <c r="P80" i="42831"/>
  <c r="P79" i="42831"/>
  <c r="P78" i="42831"/>
  <c r="P77" i="42831"/>
  <c r="P76" i="42831"/>
  <c r="P75" i="42831"/>
  <c r="P74" i="42831"/>
  <c r="P73" i="42831"/>
  <c r="P69" i="42831"/>
  <c r="P68" i="42831"/>
  <c r="P67" i="42831"/>
  <c r="P66" i="42831"/>
  <c r="P65" i="42831"/>
  <c r="P64" i="42831"/>
  <c r="P60" i="42831"/>
  <c r="P59" i="42831"/>
  <c r="P58" i="42831"/>
  <c r="P57" i="42831"/>
  <c r="P56" i="42831"/>
  <c r="P55" i="42831"/>
  <c r="P54" i="42831"/>
  <c r="P53" i="42831"/>
  <c r="P49" i="42831"/>
  <c r="P48" i="42831"/>
  <c r="P47" i="42831"/>
  <c r="P46" i="42831"/>
  <c r="P45" i="42831"/>
  <c r="P44" i="42831"/>
  <c r="P43" i="42831"/>
  <c r="P42" i="42831"/>
  <c r="P41" i="42831"/>
  <c r="P40" i="42831"/>
  <c r="P39" i="42831"/>
  <c r="N38" i="42831"/>
  <c r="P37" i="42831"/>
  <c r="P33" i="42831"/>
  <c r="P32" i="42831"/>
  <c r="P31" i="42831"/>
  <c r="P30" i="42831"/>
  <c r="P26" i="42831"/>
  <c r="P25" i="42831"/>
  <c r="P24" i="42831"/>
  <c r="P23" i="42831"/>
  <c r="P19" i="42831"/>
  <c r="P18" i="42831"/>
  <c r="P17" i="42831"/>
  <c r="P16" i="42831"/>
  <c r="P15" i="42831"/>
  <c r="P14" i="42831"/>
  <c r="P13" i="42831"/>
  <c r="P12" i="42831"/>
  <c r="P11" i="42831"/>
  <c r="P10" i="42831"/>
  <c r="P9" i="42831"/>
  <c r="P82" i="42830"/>
  <c r="P81" i="42830"/>
  <c r="P80" i="42830"/>
  <c r="P79" i="42830"/>
  <c r="P78" i="42830"/>
  <c r="P77" i="42830"/>
  <c r="P76" i="42830"/>
  <c r="P75" i="42830"/>
  <c r="P74" i="42830"/>
  <c r="P73" i="42830"/>
  <c r="P69" i="42830"/>
  <c r="P68" i="42830"/>
  <c r="P67" i="42830"/>
  <c r="P66" i="42830"/>
  <c r="P65" i="42830"/>
  <c r="P64" i="42830"/>
  <c r="P60" i="42830"/>
  <c r="P59" i="42830"/>
  <c r="P58" i="42830"/>
  <c r="P57" i="42830"/>
  <c r="P56" i="42830"/>
  <c r="P55" i="42830"/>
  <c r="P54" i="42830"/>
  <c r="P53" i="42830"/>
  <c r="P49" i="42830"/>
  <c r="P48" i="42830"/>
  <c r="P47" i="42830"/>
  <c r="P46" i="42830"/>
  <c r="P45" i="42830"/>
  <c r="P44" i="42830"/>
  <c r="P43" i="42830"/>
  <c r="P42" i="42830"/>
  <c r="P41" i="42830"/>
  <c r="P40" i="42830"/>
  <c r="P39" i="42830"/>
  <c r="N38" i="42830"/>
  <c r="P37" i="42830"/>
  <c r="P33" i="42830"/>
  <c r="P32" i="42830"/>
  <c r="P31" i="42830"/>
  <c r="P30" i="42830"/>
  <c r="P26" i="42830"/>
  <c r="P25" i="42830"/>
  <c r="P24" i="42830"/>
  <c r="P23" i="42830"/>
  <c r="P19" i="42830"/>
  <c r="P18" i="42830"/>
  <c r="P17" i="42830"/>
  <c r="P16" i="42830"/>
  <c r="P15" i="42830"/>
  <c r="P14" i="42830"/>
  <c r="P13" i="42830"/>
  <c r="P12" i="42830"/>
  <c r="P11" i="42830"/>
  <c r="P10" i="42830"/>
  <c r="P9" i="42830"/>
  <c r="P82" i="42829"/>
  <c r="P81" i="42829"/>
  <c r="P80" i="42829"/>
  <c r="P79" i="42829"/>
  <c r="P78" i="42829"/>
  <c r="P77" i="42829"/>
  <c r="P76" i="42829"/>
  <c r="P75" i="42829"/>
  <c r="P74" i="42829"/>
  <c r="P73" i="42829"/>
  <c r="P69" i="42829"/>
  <c r="P68" i="42829"/>
  <c r="P67" i="42829"/>
  <c r="P66" i="42829"/>
  <c r="P65" i="42829"/>
  <c r="P64" i="42829"/>
  <c r="P60" i="42829"/>
  <c r="P59" i="42829"/>
  <c r="P58" i="42829"/>
  <c r="P57" i="42829"/>
  <c r="P56" i="42829"/>
  <c r="P55" i="42829"/>
  <c r="P54" i="42829"/>
  <c r="P53" i="42829"/>
  <c r="P49" i="42829"/>
  <c r="P48" i="42829"/>
  <c r="P47" i="42829"/>
  <c r="P46" i="42829"/>
  <c r="P45" i="42829"/>
  <c r="P44" i="42829"/>
  <c r="P43" i="42829"/>
  <c r="P42" i="42829"/>
  <c r="P41" i="42829"/>
  <c r="P40" i="42829"/>
  <c r="P39" i="42829"/>
  <c r="N38" i="42829"/>
  <c r="P37" i="42829"/>
  <c r="P33" i="42829"/>
  <c r="P32" i="42829"/>
  <c r="P31" i="42829"/>
  <c r="P30" i="42829"/>
  <c r="P26" i="42829"/>
  <c r="P25" i="42829"/>
  <c r="P24" i="42829"/>
  <c r="P23" i="42829"/>
  <c r="P19" i="42829"/>
  <c r="P18" i="42829"/>
  <c r="P17" i="42829"/>
  <c r="P16" i="42829"/>
  <c r="P15" i="42829"/>
  <c r="P14" i="42829"/>
  <c r="P13" i="42829"/>
  <c r="P12" i="42829"/>
  <c r="P11" i="42829"/>
  <c r="P10" i="42829"/>
  <c r="P9" i="42829"/>
  <c r="P82" i="42828"/>
  <c r="P81" i="42828"/>
  <c r="P80" i="42828"/>
  <c r="P79" i="42828"/>
  <c r="P78" i="42828"/>
  <c r="P77" i="42828"/>
  <c r="P76" i="42828"/>
  <c r="P75" i="42828"/>
  <c r="P74" i="42828"/>
  <c r="P73" i="42828"/>
  <c r="P69" i="42828"/>
  <c r="P68" i="42828"/>
  <c r="P67" i="42828"/>
  <c r="P66" i="42828"/>
  <c r="P65" i="42828"/>
  <c r="P64" i="42828"/>
  <c r="P60" i="42828"/>
  <c r="P59" i="42828"/>
  <c r="P58" i="42828"/>
  <c r="P57" i="42828"/>
  <c r="P56" i="42828"/>
  <c r="P55" i="42828"/>
  <c r="P54" i="42828"/>
  <c r="P53" i="42828"/>
  <c r="P49" i="42828"/>
  <c r="P48" i="42828"/>
  <c r="P47" i="42828"/>
  <c r="P46" i="42828"/>
  <c r="P45" i="42828"/>
  <c r="P44" i="42828"/>
  <c r="P43" i="42828"/>
  <c r="P42" i="42828"/>
  <c r="P41" i="42828"/>
  <c r="P40" i="42828"/>
  <c r="P39" i="42828"/>
  <c r="N38" i="42828"/>
  <c r="P37" i="42828"/>
  <c r="P33" i="42828"/>
  <c r="P32" i="42828"/>
  <c r="P31" i="42828"/>
  <c r="P30" i="42828"/>
  <c r="P26" i="42828"/>
  <c r="P25" i="42828"/>
  <c r="P24" i="42828"/>
  <c r="P23" i="42828"/>
  <c r="P19" i="42828"/>
  <c r="P18" i="42828"/>
  <c r="P17" i="42828"/>
  <c r="P16" i="42828"/>
  <c r="P15" i="42828"/>
  <c r="P14" i="42828"/>
  <c r="P13" i="42828"/>
  <c r="P12" i="42828"/>
  <c r="P11" i="42828"/>
  <c r="P10" i="42828"/>
  <c r="P9" i="42828"/>
  <c r="P82" i="42827"/>
  <c r="P81" i="42827"/>
  <c r="P80" i="42827"/>
  <c r="P79" i="42827"/>
  <c r="P78" i="42827"/>
  <c r="P77" i="42827"/>
  <c r="P76" i="42827"/>
  <c r="P75" i="42827"/>
  <c r="P74" i="42827"/>
  <c r="P73" i="42827"/>
  <c r="P69" i="42827"/>
  <c r="P68" i="42827"/>
  <c r="P67" i="42827"/>
  <c r="P66" i="42827"/>
  <c r="P65" i="42827"/>
  <c r="P64" i="42827"/>
  <c r="P60" i="42827"/>
  <c r="P59" i="42827"/>
  <c r="P58" i="42827"/>
  <c r="P57" i="42827"/>
  <c r="P56" i="42827"/>
  <c r="P55" i="42827"/>
  <c r="P54" i="42827"/>
  <c r="P53" i="42827"/>
  <c r="P49" i="42827"/>
  <c r="P48" i="42827"/>
  <c r="P47" i="42827"/>
  <c r="P46" i="42827"/>
  <c r="P45" i="42827"/>
  <c r="P44" i="42827"/>
  <c r="P43" i="42827"/>
  <c r="P42" i="42827"/>
  <c r="P41" i="42827"/>
  <c r="P40" i="42827"/>
  <c r="P39" i="42827"/>
  <c r="N38" i="42827"/>
  <c r="P37" i="42827"/>
  <c r="P33" i="42827"/>
  <c r="P32" i="42827"/>
  <c r="P31" i="42827"/>
  <c r="P30" i="42827"/>
  <c r="P26" i="42827"/>
  <c r="P25" i="42827"/>
  <c r="P24" i="42827"/>
  <c r="P23" i="42827"/>
  <c r="P19" i="42827"/>
  <c r="P18" i="42827"/>
  <c r="P17" i="42827"/>
  <c r="P16" i="42827"/>
  <c r="P15" i="42827"/>
  <c r="P14" i="42827"/>
  <c r="P13" i="42827"/>
  <c r="P12" i="42827"/>
  <c r="P11" i="42827"/>
  <c r="P10" i="42827"/>
  <c r="P9" i="42827"/>
  <c r="P82" i="42826"/>
  <c r="P81" i="42826"/>
  <c r="P80" i="42826"/>
  <c r="P79" i="42826"/>
  <c r="P78" i="42826"/>
  <c r="P77" i="42826"/>
  <c r="P76" i="42826"/>
  <c r="P75" i="42826"/>
  <c r="P74" i="42826"/>
  <c r="P73" i="42826"/>
  <c r="P69" i="42826"/>
  <c r="P68" i="42826"/>
  <c r="P67" i="42826"/>
  <c r="P66" i="42826"/>
  <c r="P65" i="42826"/>
  <c r="P64" i="42826"/>
  <c r="P60" i="42826"/>
  <c r="P59" i="42826"/>
  <c r="P58" i="42826"/>
  <c r="P57" i="42826"/>
  <c r="P56" i="42826"/>
  <c r="P55" i="42826"/>
  <c r="P54" i="42826"/>
  <c r="P53" i="42826"/>
  <c r="P49" i="42826"/>
  <c r="P48" i="42826"/>
  <c r="P47" i="42826"/>
  <c r="P46" i="42826"/>
  <c r="P45" i="42826"/>
  <c r="P44" i="42826"/>
  <c r="P43" i="42826"/>
  <c r="P42" i="42826"/>
  <c r="P41" i="42826"/>
  <c r="P40" i="42826"/>
  <c r="P39" i="42826"/>
  <c r="N38" i="42826"/>
  <c r="P37" i="42826"/>
  <c r="P33" i="42826"/>
  <c r="P32" i="42826"/>
  <c r="P31" i="42826"/>
  <c r="P30" i="42826"/>
  <c r="P26" i="42826"/>
  <c r="P25" i="42826"/>
  <c r="P24" i="42826"/>
  <c r="P23" i="42826"/>
  <c r="P19" i="42826"/>
  <c r="P18" i="42826"/>
  <c r="P17" i="42826"/>
  <c r="P16" i="42826"/>
  <c r="P15" i="42826"/>
  <c r="P14" i="42826"/>
  <c r="P13" i="42826"/>
  <c r="P12" i="42826"/>
  <c r="P11" i="42826"/>
  <c r="P10" i="42826"/>
  <c r="P9" i="42826"/>
  <c r="P82" i="42825"/>
  <c r="P81" i="42825"/>
  <c r="P80" i="42825"/>
  <c r="P79" i="42825"/>
  <c r="P78" i="42825"/>
  <c r="P77" i="42825"/>
  <c r="P76" i="42825"/>
  <c r="P75" i="42825"/>
  <c r="P74" i="42825"/>
  <c r="P73" i="42825"/>
  <c r="P69" i="42825"/>
  <c r="P68" i="42825"/>
  <c r="P67" i="42825"/>
  <c r="P66" i="42825"/>
  <c r="P65" i="42825"/>
  <c r="P64" i="42825"/>
  <c r="P60" i="42825"/>
  <c r="P59" i="42825"/>
  <c r="P58" i="42825"/>
  <c r="P57" i="42825"/>
  <c r="P56" i="42825"/>
  <c r="P55" i="42825"/>
  <c r="P54" i="42825"/>
  <c r="P53" i="42825"/>
  <c r="P49" i="42825"/>
  <c r="P48" i="42825"/>
  <c r="P47" i="42825"/>
  <c r="P46" i="42825"/>
  <c r="P45" i="42825"/>
  <c r="P44" i="42825"/>
  <c r="P43" i="42825"/>
  <c r="P42" i="42825"/>
  <c r="P41" i="42825"/>
  <c r="P40" i="42825"/>
  <c r="P39" i="42825"/>
  <c r="N38" i="42825"/>
  <c r="P37" i="42825"/>
  <c r="P33" i="42825"/>
  <c r="P32" i="42825"/>
  <c r="P31" i="42825"/>
  <c r="P30" i="42825"/>
  <c r="P26" i="42825"/>
  <c r="P25" i="42825"/>
  <c r="P24" i="42825"/>
  <c r="P23" i="42825"/>
  <c r="P19" i="42825"/>
  <c r="P18" i="42825"/>
  <c r="P17" i="42825"/>
  <c r="P16" i="42825"/>
  <c r="P15" i="42825"/>
  <c r="P14" i="42825"/>
  <c r="P13" i="42825"/>
  <c r="P12" i="42825"/>
  <c r="P11" i="42825"/>
  <c r="P10" i="42825"/>
  <c r="P9" i="42825"/>
  <c r="P82" i="42824"/>
  <c r="P81" i="42824"/>
  <c r="P80" i="42824"/>
  <c r="P79" i="42824"/>
  <c r="P78" i="42824"/>
  <c r="P77" i="42824"/>
  <c r="P76" i="42824"/>
  <c r="P75" i="42824"/>
  <c r="P74" i="42824"/>
  <c r="P73" i="42824"/>
  <c r="P69" i="42824"/>
  <c r="P68" i="42824"/>
  <c r="P67" i="42824"/>
  <c r="P66" i="42824"/>
  <c r="P65" i="42824"/>
  <c r="P64" i="42824"/>
  <c r="P60" i="42824"/>
  <c r="P59" i="42824"/>
  <c r="P58" i="42824"/>
  <c r="P57" i="42824"/>
  <c r="P56" i="42824"/>
  <c r="P55" i="42824"/>
  <c r="P54" i="42824"/>
  <c r="P53" i="42824"/>
  <c r="P49" i="42824"/>
  <c r="P48" i="42824"/>
  <c r="P47" i="42824"/>
  <c r="P46" i="42824"/>
  <c r="P45" i="42824"/>
  <c r="P44" i="42824"/>
  <c r="P43" i="42824"/>
  <c r="P42" i="42824"/>
  <c r="P41" i="42824"/>
  <c r="P40" i="42824"/>
  <c r="P39" i="42824"/>
  <c r="N38" i="42824"/>
  <c r="P37" i="42824"/>
  <c r="P33" i="42824"/>
  <c r="P32" i="42824"/>
  <c r="P31" i="42824"/>
  <c r="P30" i="42824"/>
  <c r="P26" i="42824"/>
  <c r="P25" i="42824"/>
  <c r="P24" i="42824"/>
  <c r="P23" i="42824"/>
  <c r="P19" i="42824"/>
  <c r="P18" i="42824"/>
  <c r="P17" i="42824"/>
  <c r="P16" i="42824"/>
  <c r="P15" i="42824"/>
  <c r="P14" i="42824"/>
  <c r="P13" i="42824"/>
  <c r="P12" i="42824"/>
  <c r="P11" i="42824"/>
  <c r="P10" i="42824"/>
  <c r="P9" i="42824"/>
  <c r="P82" i="42823"/>
  <c r="P81" i="42823"/>
  <c r="P80" i="42823"/>
  <c r="P79" i="42823"/>
  <c r="P78" i="42823"/>
  <c r="P77" i="42823"/>
  <c r="P76" i="42823"/>
  <c r="P75" i="42823"/>
  <c r="P74" i="42823"/>
  <c r="P73" i="42823"/>
  <c r="P69" i="42823"/>
  <c r="P68" i="42823"/>
  <c r="P67" i="42823"/>
  <c r="P66" i="42823"/>
  <c r="P65" i="42823"/>
  <c r="P64" i="42823"/>
  <c r="P60" i="42823"/>
  <c r="P59" i="42823"/>
  <c r="P58" i="42823"/>
  <c r="P57" i="42823"/>
  <c r="P56" i="42823"/>
  <c r="P55" i="42823"/>
  <c r="P54" i="42823"/>
  <c r="P53" i="42823"/>
  <c r="P49" i="42823"/>
  <c r="P48" i="42823"/>
  <c r="P47" i="42823"/>
  <c r="P46" i="42823"/>
  <c r="P45" i="42823"/>
  <c r="P44" i="42823"/>
  <c r="P43" i="42823"/>
  <c r="P42" i="42823"/>
  <c r="P41" i="42823"/>
  <c r="P40" i="42823"/>
  <c r="P39" i="42823"/>
  <c r="N38" i="42823"/>
  <c r="P37" i="42823"/>
  <c r="P33" i="42823"/>
  <c r="P32" i="42823"/>
  <c r="P31" i="42823"/>
  <c r="P30" i="42823"/>
  <c r="P26" i="42823"/>
  <c r="P25" i="42823"/>
  <c r="P24" i="42823"/>
  <c r="P23" i="42823"/>
  <c r="P19" i="42823"/>
  <c r="P18" i="42823"/>
  <c r="P17" i="42823"/>
  <c r="P16" i="42823"/>
  <c r="P15" i="42823"/>
  <c r="P14" i="42823"/>
  <c r="P13" i="42823"/>
  <c r="P12" i="42823"/>
  <c r="P11" i="42823"/>
  <c r="P10" i="42823"/>
  <c r="P9" i="42823"/>
  <c r="P82" i="42821"/>
  <c r="P81" i="42821"/>
  <c r="P80" i="42821"/>
  <c r="P79" i="42821"/>
  <c r="P78" i="42821"/>
  <c r="P77" i="42821"/>
  <c r="P76" i="42821"/>
  <c r="P75" i="42821"/>
  <c r="P74" i="42821"/>
  <c r="P73" i="42821"/>
  <c r="P69" i="42821"/>
  <c r="P68" i="42821"/>
  <c r="P67" i="42821"/>
  <c r="P66" i="42821"/>
  <c r="P65" i="42821"/>
  <c r="P64" i="42821"/>
  <c r="P60" i="42821"/>
  <c r="P59" i="42821"/>
  <c r="P58" i="42821"/>
  <c r="P57" i="42821"/>
  <c r="P56" i="42821"/>
  <c r="P55" i="42821"/>
  <c r="P54" i="42821"/>
  <c r="P53" i="42821"/>
  <c r="P49" i="42821"/>
  <c r="P48" i="42821"/>
  <c r="P47" i="42821"/>
  <c r="P46" i="42821"/>
  <c r="P45" i="42821"/>
  <c r="P44" i="42821"/>
  <c r="P43" i="42821"/>
  <c r="P42" i="42821"/>
  <c r="P41" i="42821"/>
  <c r="P40" i="42821"/>
  <c r="P39" i="42821"/>
  <c r="N38" i="42821"/>
  <c r="P37" i="42821"/>
  <c r="P33" i="42821"/>
  <c r="P32" i="42821"/>
  <c r="P31" i="42821"/>
  <c r="P30" i="42821"/>
  <c r="P26" i="42821"/>
  <c r="P25" i="42821"/>
  <c r="P24" i="42821"/>
  <c r="P23" i="42821"/>
  <c r="P19" i="42821"/>
  <c r="P18" i="42821"/>
  <c r="P17" i="42821"/>
  <c r="P16" i="42821"/>
  <c r="P15" i="42821"/>
  <c r="P14" i="42821"/>
  <c r="P13" i="42821"/>
  <c r="P12" i="42821"/>
  <c r="P11" i="42821"/>
  <c r="P10" i="42821"/>
  <c r="P9" i="42821"/>
  <c r="P82" i="42820"/>
  <c r="P81" i="42820"/>
  <c r="P80" i="42820"/>
  <c r="P79" i="42820"/>
  <c r="P78" i="42820"/>
  <c r="P77" i="42820"/>
  <c r="P76" i="42820"/>
  <c r="P75" i="42820"/>
  <c r="P74" i="42820"/>
  <c r="P73" i="42820"/>
  <c r="P69" i="42820"/>
  <c r="P68" i="42820"/>
  <c r="P67" i="42820"/>
  <c r="P66" i="42820"/>
  <c r="P65" i="42820"/>
  <c r="P64" i="42820"/>
  <c r="P60" i="42820"/>
  <c r="P59" i="42820"/>
  <c r="P58" i="42820"/>
  <c r="P57" i="42820"/>
  <c r="P56" i="42820"/>
  <c r="P55" i="42820"/>
  <c r="P54" i="42820"/>
  <c r="P53" i="42820"/>
  <c r="P49" i="42820"/>
  <c r="P48" i="42820"/>
  <c r="P47" i="42820"/>
  <c r="P46" i="42820"/>
  <c r="P45" i="42820"/>
  <c r="P44" i="42820"/>
  <c r="P43" i="42820"/>
  <c r="P42" i="42820"/>
  <c r="P41" i="42820"/>
  <c r="P40" i="42820"/>
  <c r="P39" i="42820"/>
  <c r="N38" i="42820"/>
  <c r="P37" i="42820"/>
  <c r="P33" i="42820"/>
  <c r="P32" i="42820"/>
  <c r="P31" i="42820"/>
  <c r="P30" i="42820"/>
  <c r="P26" i="42820"/>
  <c r="P25" i="42820"/>
  <c r="P24" i="42820"/>
  <c r="P23" i="42820"/>
  <c r="P19" i="42820"/>
  <c r="P18" i="42820"/>
  <c r="P17" i="42820"/>
  <c r="P16" i="42820"/>
  <c r="P15" i="42820"/>
  <c r="P14" i="42820"/>
  <c r="P13" i="42820"/>
  <c r="P12" i="42820"/>
  <c r="P11" i="42820"/>
  <c r="P10" i="42820"/>
  <c r="P9" i="42820"/>
  <c r="P82" i="42819"/>
  <c r="P81" i="42819"/>
  <c r="P80" i="42819"/>
  <c r="P79" i="42819"/>
  <c r="P78" i="42819"/>
  <c r="P77" i="42819"/>
  <c r="P76" i="42819"/>
  <c r="P75" i="42819"/>
  <c r="P74" i="42819"/>
  <c r="P73" i="42819"/>
  <c r="P69" i="42819"/>
  <c r="P68" i="42819"/>
  <c r="P67" i="42819"/>
  <c r="P66" i="42819"/>
  <c r="P65" i="42819"/>
  <c r="P64" i="42819"/>
  <c r="P60" i="42819"/>
  <c r="P59" i="42819"/>
  <c r="P58" i="42819"/>
  <c r="P57" i="42819"/>
  <c r="P56" i="42819"/>
  <c r="P55" i="42819"/>
  <c r="P54" i="42819"/>
  <c r="P53" i="42819"/>
  <c r="P49" i="42819"/>
  <c r="P48" i="42819"/>
  <c r="P47" i="42819"/>
  <c r="P46" i="42819"/>
  <c r="P45" i="42819"/>
  <c r="P44" i="42819"/>
  <c r="P43" i="42819"/>
  <c r="P42" i="42819"/>
  <c r="P41" i="42819"/>
  <c r="P40" i="42819"/>
  <c r="P39" i="42819"/>
  <c r="N38" i="42819"/>
  <c r="P37" i="42819"/>
  <c r="P33" i="42819"/>
  <c r="P32" i="42819"/>
  <c r="P31" i="42819"/>
  <c r="P30" i="42819"/>
  <c r="P26" i="42819"/>
  <c r="P25" i="42819"/>
  <c r="P24" i="42819"/>
  <c r="P23" i="42819"/>
  <c r="P19" i="42819"/>
  <c r="P18" i="42819"/>
  <c r="P17" i="42819"/>
  <c r="P16" i="42819"/>
  <c r="P15" i="42819"/>
  <c r="P14" i="42819"/>
  <c r="P13" i="42819"/>
  <c r="P12" i="42819"/>
  <c r="P11" i="42819"/>
  <c r="P10" i="42819"/>
  <c r="P9" i="42819"/>
  <c r="P82" i="42818"/>
  <c r="P81" i="42818"/>
  <c r="P80" i="42818"/>
  <c r="P79" i="42818"/>
  <c r="P78" i="42818"/>
  <c r="P77" i="42818"/>
  <c r="P76" i="42818"/>
  <c r="P75" i="42818"/>
  <c r="P74" i="42818"/>
  <c r="P73" i="42818"/>
  <c r="P69" i="42818"/>
  <c r="P68" i="42818"/>
  <c r="P67" i="42818"/>
  <c r="P66" i="42818"/>
  <c r="P65" i="42818"/>
  <c r="P64" i="42818"/>
  <c r="P60" i="42818"/>
  <c r="P59" i="42818"/>
  <c r="P58" i="42818"/>
  <c r="P57" i="42818"/>
  <c r="P56" i="42818"/>
  <c r="P55" i="42818"/>
  <c r="P54" i="42818"/>
  <c r="P53" i="42818"/>
  <c r="P49" i="42818"/>
  <c r="P48" i="42818"/>
  <c r="P47" i="42818"/>
  <c r="P46" i="42818"/>
  <c r="P45" i="42818"/>
  <c r="P44" i="42818"/>
  <c r="P43" i="42818"/>
  <c r="P42" i="42818"/>
  <c r="P41" i="42818"/>
  <c r="P40" i="42818"/>
  <c r="P39" i="42818"/>
  <c r="N38" i="42818"/>
  <c r="P37" i="42818"/>
  <c r="P33" i="42818"/>
  <c r="P32" i="42818"/>
  <c r="P31" i="42818"/>
  <c r="P30" i="42818"/>
  <c r="P26" i="42818"/>
  <c r="P25" i="42818"/>
  <c r="P24" i="42818"/>
  <c r="P23" i="42818"/>
  <c r="P19" i="42818"/>
  <c r="P18" i="42818"/>
  <c r="P17" i="42818"/>
  <c r="P16" i="42818"/>
  <c r="P15" i="42818"/>
  <c r="P14" i="42818"/>
  <c r="P13" i="42818"/>
  <c r="P12" i="42818"/>
  <c r="P11" i="42818"/>
  <c r="P10" i="42818"/>
  <c r="P9" i="42818"/>
  <c r="P82" i="42817"/>
  <c r="P81" i="42817"/>
  <c r="P80" i="42817"/>
  <c r="P79" i="42817"/>
  <c r="P78" i="42817"/>
  <c r="P77" i="42817"/>
  <c r="P76" i="42817"/>
  <c r="P75" i="42817"/>
  <c r="P74" i="42817"/>
  <c r="P73" i="42817"/>
  <c r="P69" i="42817"/>
  <c r="P68" i="42817"/>
  <c r="P67" i="42817"/>
  <c r="P66" i="42817"/>
  <c r="P65" i="42817"/>
  <c r="P64" i="42817"/>
  <c r="P60" i="42817"/>
  <c r="P59" i="42817"/>
  <c r="P58" i="42817"/>
  <c r="P57" i="42817"/>
  <c r="P56" i="42817"/>
  <c r="P55" i="42817"/>
  <c r="P54" i="42817"/>
  <c r="P53" i="42817"/>
  <c r="P49" i="42817"/>
  <c r="P48" i="42817"/>
  <c r="P47" i="42817"/>
  <c r="P46" i="42817"/>
  <c r="P45" i="42817"/>
  <c r="P44" i="42817"/>
  <c r="P43" i="42817"/>
  <c r="P42" i="42817"/>
  <c r="P41" i="42817"/>
  <c r="P40" i="42817"/>
  <c r="P39" i="42817"/>
  <c r="N38" i="42817"/>
  <c r="P37" i="42817"/>
  <c r="P33" i="42817"/>
  <c r="P32" i="42817"/>
  <c r="P31" i="42817"/>
  <c r="P30" i="42817"/>
  <c r="P26" i="42817"/>
  <c r="P25" i="42817"/>
  <c r="P24" i="42817"/>
  <c r="P23" i="42817"/>
  <c r="P19" i="42817"/>
  <c r="P18" i="42817"/>
  <c r="P17" i="42817"/>
  <c r="P16" i="42817"/>
  <c r="P15" i="42817"/>
  <c r="P14" i="42817"/>
  <c r="P13" i="42817"/>
  <c r="P12" i="42817"/>
  <c r="P11" i="42817"/>
  <c r="P10" i="42817"/>
  <c r="P9" i="42817"/>
  <c r="P82" i="42816"/>
  <c r="P81" i="42816"/>
  <c r="P80" i="42816"/>
  <c r="P79" i="42816"/>
  <c r="P78" i="42816"/>
  <c r="P77" i="42816"/>
  <c r="P76" i="42816"/>
  <c r="P75" i="42816"/>
  <c r="P74" i="42816"/>
  <c r="P73" i="42816"/>
  <c r="P69" i="42816"/>
  <c r="P68" i="42816"/>
  <c r="P67" i="42816"/>
  <c r="P66" i="42816"/>
  <c r="P65" i="42816"/>
  <c r="P64" i="42816"/>
  <c r="P60" i="42816"/>
  <c r="P59" i="42816"/>
  <c r="P58" i="42816"/>
  <c r="P57" i="42816"/>
  <c r="P56" i="42816"/>
  <c r="P55" i="42816"/>
  <c r="P54" i="42816"/>
  <c r="P53" i="42816"/>
  <c r="P49" i="42816"/>
  <c r="P48" i="42816"/>
  <c r="P47" i="42816"/>
  <c r="P46" i="42816"/>
  <c r="P45" i="42816"/>
  <c r="P44" i="42816"/>
  <c r="P43" i="42816"/>
  <c r="P42" i="42816"/>
  <c r="P41" i="42816"/>
  <c r="P40" i="42816"/>
  <c r="P39" i="42816"/>
  <c r="N38" i="42816"/>
  <c r="P37" i="42816"/>
  <c r="P33" i="42816"/>
  <c r="P32" i="42816"/>
  <c r="P31" i="42816"/>
  <c r="P30" i="42816"/>
  <c r="P26" i="42816"/>
  <c r="P25" i="42816"/>
  <c r="P24" i="42816"/>
  <c r="P23" i="42816"/>
  <c r="P19" i="42816"/>
  <c r="P18" i="42816"/>
  <c r="P17" i="42816"/>
  <c r="P16" i="42816"/>
  <c r="P15" i="42816"/>
  <c r="P14" i="42816"/>
  <c r="P13" i="42816"/>
  <c r="P12" i="42816"/>
  <c r="P11" i="42816"/>
  <c r="P10" i="42816"/>
  <c r="P9" i="42816"/>
  <c r="P82" i="42815"/>
  <c r="P81" i="42815"/>
  <c r="P80" i="42815"/>
  <c r="P79" i="42815"/>
  <c r="P78" i="42815"/>
  <c r="P77" i="42815"/>
  <c r="P76" i="42815"/>
  <c r="P75" i="42815"/>
  <c r="P74" i="42815"/>
  <c r="P73" i="42815"/>
  <c r="P69" i="42815"/>
  <c r="P68" i="42815"/>
  <c r="P67" i="42815"/>
  <c r="P66" i="42815"/>
  <c r="P65" i="42815"/>
  <c r="P64" i="42815"/>
  <c r="P60" i="42815"/>
  <c r="P59" i="42815"/>
  <c r="P58" i="42815"/>
  <c r="P57" i="42815"/>
  <c r="P56" i="42815"/>
  <c r="P55" i="42815"/>
  <c r="P54" i="42815"/>
  <c r="P53" i="42815"/>
  <c r="P49" i="42815"/>
  <c r="P48" i="42815"/>
  <c r="P47" i="42815"/>
  <c r="P46" i="42815"/>
  <c r="P45" i="42815"/>
  <c r="P44" i="42815"/>
  <c r="P43" i="42815"/>
  <c r="P42" i="42815"/>
  <c r="P41" i="42815"/>
  <c r="P40" i="42815"/>
  <c r="P39" i="42815"/>
  <c r="N38" i="42815"/>
  <c r="P37" i="42815"/>
  <c r="P33" i="42815"/>
  <c r="P32" i="42815"/>
  <c r="P31" i="42815"/>
  <c r="P30" i="42815"/>
  <c r="P26" i="42815"/>
  <c r="P25" i="42815"/>
  <c r="P24" i="42815"/>
  <c r="P23" i="42815"/>
  <c r="P19" i="42815"/>
  <c r="P18" i="42815"/>
  <c r="P17" i="42815"/>
  <c r="P16" i="42815"/>
  <c r="P15" i="42815"/>
  <c r="P14" i="42815"/>
  <c r="P13" i="42815"/>
  <c r="P12" i="42815"/>
  <c r="P11" i="42815"/>
  <c r="P10" i="42815"/>
  <c r="P9" i="42815"/>
  <c r="P82" i="42814"/>
  <c r="P81" i="42814"/>
  <c r="P80" i="42814"/>
  <c r="P79" i="42814"/>
  <c r="P78" i="42814"/>
  <c r="P77" i="42814"/>
  <c r="P76" i="42814"/>
  <c r="P75" i="42814"/>
  <c r="P74" i="42814"/>
  <c r="P73" i="42814"/>
  <c r="P69" i="42814"/>
  <c r="P68" i="42814"/>
  <c r="P67" i="42814"/>
  <c r="P66" i="42814"/>
  <c r="P65" i="42814"/>
  <c r="P64" i="42814"/>
  <c r="P60" i="42814"/>
  <c r="P59" i="42814"/>
  <c r="P58" i="42814"/>
  <c r="P57" i="42814"/>
  <c r="P56" i="42814"/>
  <c r="P55" i="42814"/>
  <c r="P54" i="42814"/>
  <c r="P53" i="42814"/>
  <c r="P49" i="42814"/>
  <c r="P48" i="42814"/>
  <c r="P47" i="42814"/>
  <c r="P46" i="42814"/>
  <c r="P45" i="42814"/>
  <c r="P44" i="42814"/>
  <c r="P43" i="42814"/>
  <c r="P42" i="42814"/>
  <c r="P41" i="42814"/>
  <c r="P40" i="42814"/>
  <c r="P39" i="42814"/>
  <c r="N38" i="42814"/>
  <c r="P37" i="42814"/>
  <c r="P33" i="42814"/>
  <c r="P32" i="42814"/>
  <c r="P31" i="42814"/>
  <c r="P30" i="42814"/>
  <c r="P26" i="42814"/>
  <c r="P25" i="42814"/>
  <c r="P24" i="42814"/>
  <c r="P23" i="42814"/>
  <c r="P19" i="42814"/>
  <c r="P18" i="42814"/>
  <c r="P17" i="42814"/>
  <c r="P16" i="42814"/>
  <c r="P15" i="42814"/>
  <c r="P14" i="42814"/>
  <c r="P13" i="42814"/>
  <c r="P12" i="42814"/>
  <c r="P11" i="42814"/>
  <c r="P10" i="42814"/>
  <c r="P9" i="42814"/>
  <c r="P82" i="42813"/>
  <c r="P81" i="42813"/>
  <c r="P80" i="42813"/>
  <c r="P79" i="42813"/>
  <c r="P78" i="42813"/>
  <c r="P77" i="42813"/>
  <c r="P76" i="42813"/>
  <c r="P75" i="42813"/>
  <c r="P74" i="42813"/>
  <c r="P73" i="42813"/>
  <c r="P69" i="42813"/>
  <c r="P68" i="42813"/>
  <c r="P67" i="42813"/>
  <c r="P66" i="42813"/>
  <c r="P65" i="42813"/>
  <c r="P64" i="42813"/>
  <c r="P60" i="42813"/>
  <c r="P59" i="42813"/>
  <c r="P58" i="42813"/>
  <c r="P57" i="42813"/>
  <c r="P56" i="42813"/>
  <c r="P55" i="42813"/>
  <c r="P54" i="42813"/>
  <c r="P53" i="42813"/>
  <c r="P49" i="42813"/>
  <c r="P48" i="42813"/>
  <c r="P47" i="42813"/>
  <c r="P46" i="42813"/>
  <c r="P45" i="42813"/>
  <c r="P44" i="42813"/>
  <c r="P43" i="42813"/>
  <c r="P42" i="42813"/>
  <c r="P41" i="42813"/>
  <c r="P40" i="42813"/>
  <c r="P39" i="42813"/>
  <c r="N38" i="42813"/>
  <c r="P37" i="42813"/>
  <c r="P33" i="42813"/>
  <c r="P32" i="42813"/>
  <c r="P31" i="42813"/>
  <c r="P30" i="42813"/>
  <c r="P26" i="42813"/>
  <c r="P25" i="42813"/>
  <c r="P24" i="42813"/>
  <c r="P23" i="42813"/>
  <c r="P19" i="42813"/>
  <c r="P18" i="42813"/>
  <c r="P17" i="42813"/>
  <c r="P16" i="42813"/>
  <c r="P15" i="42813"/>
  <c r="P14" i="42813"/>
  <c r="P13" i="42813"/>
  <c r="P12" i="42813"/>
  <c r="P11" i="42813"/>
  <c r="P10" i="42813"/>
  <c r="P9" i="42813"/>
  <c r="P19" i="42713"/>
  <c r="K5" i="42839"/>
  <c r="G5" i="42839"/>
  <c r="G4" i="42839"/>
  <c r="B5" i="42839"/>
  <c r="B4" i="42839"/>
  <c r="K3" i="42839"/>
  <c r="E3" i="42839"/>
  <c r="A3" i="42839"/>
  <c r="I101" i="42839"/>
  <c r="I100" i="42839"/>
  <c r="I99" i="42839"/>
  <c r="I98" i="42839"/>
  <c r="I97" i="42839"/>
  <c r="I96" i="42839"/>
  <c r="I95" i="42839"/>
  <c r="I94" i="42839"/>
  <c r="I93" i="42839"/>
  <c r="I92" i="42839"/>
  <c r="I91" i="42839"/>
  <c r="I90" i="42839"/>
  <c r="I89" i="42839"/>
  <c r="I88" i="42839"/>
  <c r="I87" i="42839"/>
  <c r="I86" i="42839"/>
  <c r="I85" i="42839"/>
  <c r="I84" i="42839"/>
  <c r="I83" i="42839"/>
  <c r="I82" i="42839"/>
  <c r="I81" i="42839"/>
  <c r="I80" i="42839"/>
  <c r="I79" i="42839"/>
  <c r="I78" i="42839"/>
  <c r="I77" i="42839"/>
  <c r="I76" i="42839"/>
  <c r="I75" i="42839"/>
  <c r="I74" i="42839"/>
  <c r="I73" i="42839"/>
  <c r="I72" i="42839"/>
  <c r="I71" i="42839"/>
  <c r="I70" i="42839"/>
  <c r="I69" i="42839"/>
  <c r="I68" i="42839"/>
  <c r="I67" i="42839"/>
  <c r="I66" i="42839"/>
  <c r="I65" i="42839"/>
  <c r="I64" i="42839"/>
  <c r="I63" i="42839"/>
  <c r="I62" i="42839"/>
  <c r="I61" i="42839"/>
  <c r="I60" i="42839"/>
  <c r="I59" i="42839"/>
  <c r="I58" i="42839"/>
  <c r="I57" i="42839"/>
  <c r="I56" i="42839"/>
  <c r="I55" i="42839"/>
  <c r="I54" i="42839"/>
  <c r="I53" i="42839"/>
  <c r="I52" i="42839"/>
  <c r="I51" i="42839"/>
  <c r="I50" i="42839"/>
  <c r="I49" i="42839"/>
  <c r="I48" i="42839"/>
  <c r="I47" i="42839"/>
  <c r="I46" i="42839"/>
  <c r="I45" i="42839"/>
  <c r="I44" i="42839"/>
  <c r="I43" i="42839"/>
  <c r="I42" i="42839"/>
  <c r="I41" i="42839"/>
  <c r="I40" i="42839"/>
  <c r="I39" i="42839"/>
  <c r="I38" i="42839"/>
  <c r="I37" i="42839"/>
  <c r="I36" i="42839"/>
  <c r="I35" i="42839"/>
  <c r="I34" i="42839"/>
  <c r="I33" i="42839"/>
  <c r="I32" i="42839"/>
  <c r="I31" i="42839"/>
  <c r="I30" i="42839"/>
  <c r="I29" i="42839"/>
  <c r="I28" i="42839"/>
  <c r="I27" i="42839"/>
  <c r="I26" i="42839"/>
  <c r="I25" i="42839"/>
  <c r="I24" i="42839"/>
  <c r="I23" i="42839"/>
  <c r="C10" i="42839"/>
  <c r="D58" i="42812" s="1"/>
  <c r="C9" i="42839"/>
  <c r="D57" i="42812" s="1"/>
  <c r="C8" i="42839"/>
  <c r="G7" i="42839"/>
  <c r="C7" i="42839"/>
  <c r="I6" i="42839"/>
  <c r="C6" i="42839"/>
  <c r="AE115" i="42812"/>
  <c r="AE105" i="42812"/>
  <c r="AE113" i="42812"/>
  <c r="AE106" i="42812"/>
  <c r="AE108" i="42812"/>
  <c r="AE110" i="42812"/>
  <c r="AE102" i="42812"/>
  <c r="AE103" i="42812"/>
  <c r="AE107" i="42812"/>
  <c r="AE111" i="42812"/>
  <c r="AE104" i="42812"/>
  <c r="AE101" i="42812"/>
  <c r="AE98" i="42812"/>
  <c r="AE99" i="42812"/>
  <c r="AE109" i="42812"/>
  <c r="AE100" i="42812"/>
  <c r="AE116" i="42812"/>
  <c r="AE114" i="42812"/>
  <c r="AE112" i="42812"/>
  <c r="G6" i="42839" l="1"/>
  <c r="M6" i="42839"/>
  <c r="D59" i="42812"/>
  <c r="M7" i="42839"/>
  <c r="G8" i="42839"/>
  <c r="C2" i="42814" l="1"/>
  <c r="C2" i="42815"/>
  <c r="C2" i="42816"/>
  <c r="C2" i="42817"/>
  <c r="C2" i="42818"/>
  <c r="C2" i="42819"/>
  <c r="C2" i="42820"/>
  <c r="C2" i="42821"/>
  <c r="C2" i="42823"/>
  <c r="C2" i="42824"/>
  <c r="C2" i="42825"/>
  <c r="C2" i="42826"/>
  <c r="C2" i="42827"/>
  <c r="C2" i="42828"/>
  <c r="C2" i="42829"/>
  <c r="C2" i="42830"/>
  <c r="C2" i="42831"/>
  <c r="C2" i="42832"/>
  <c r="C2" i="42813"/>
  <c r="C2" i="42713"/>
  <c r="O4" i="42836" l="1"/>
  <c r="L4" i="42836"/>
  <c r="I4" i="42836"/>
  <c r="O2" i="42836"/>
  <c r="E2" i="42836"/>
  <c r="K690" i="42812"/>
  <c r="J690" i="42812"/>
  <c r="I690" i="42812"/>
  <c r="H690" i="42812"/>
  <c r="G690" i="42812"/>
  <c r="F690" i="42812"/>
  <c r="E690" i="42812"/>
  <c r="D690" i="42812"/>
  <c r="C690" i="42812"/>
  <c r="B690" i="42812"/>
  <c r="K689" i="42812"/>
  <c r="J689" i="42812"/>
  <c r="I689" i="42812"/>
  <c r="H689" i="42812"/>
  <c r="G689" i="42812"/>
  <c r="F689" i="42812"/>
  <c r="E689" i="42812"/>
  <c r="D689" i="42812"/>
  <c r="C689" i="42812"/>
  <c r="B689" i="42812"/>
  <c r="K688" i="42812"/>
  <c r="J688" i="42812"/>
  <c r="I688" i="42812"/>
  <c r="H688" i="42812"/>
  <c r="G688" i="42812"/>
  <c r="F688" i="42812"/>
  <c r="E688" i="42812"/>
  <c r="D688" i="42812"/>
  <c r="C688" i="42812"/>
  <c r="B688" i="42812"/>
  <c r="K687" i="42812"/>
  <c r="J687" i="42812"/>
  <c r="I687" i="42812"/>
  <c r="H687" i="42812"/>
  <c r="G687" i="42812"/>
  <c r="F687" i="42812"/>
  <c r="E687" i="42812"/>
  <c r="D687" i="42812"/>
  <c r="C687" i="42812"/>
  <c r="B687" i="42812"/>
  <c r="K686" i="42812"/>
  <c r="J686" i="42812"/>
  <c r="I686" i="42812"/>
  <c r="H686" i="42812"/>
  <c r="G686" i="42812"/>
  <c r="F686" i="42812"/>
  <c r="E686" i="42812"/>
  <c r="D686" i="42812"/>
  <c r="C686" i="42812"/>
  <c r="B686" i="42812"/>
  <c r="K685" i="42812"/>
  <c r="J685" i="42812"/>
  <c r="I685" i="42812"/>
  <c r="H685" i="42812"/>
  <c r="G685" i="42812"/>
  <c r="F685" i="42812"/>
  <c r="E685" i="42812"/>
  <c r="D685" i="42812"/>
  <c r="C685" i="42812"/>
  <c r="B685" i="42812"/>
  <c r="K684" i="42812"/>
  <c r="J684" i="42812"/>
  <c r="I684" i="42812"/>
  <c r="H684" i="42812"/>
  <c r="G684" i="42812"/>
  <c r="F684" i="42812"/>
  <c r="E684" i="42812"/>
  <c r="D684" i="42812"/>
  <c r="C684" i="42812"/>
  <c r="B684" i="42812"/>
  <c r="K683" i="42812"/>
  <c r="J683" i="42812"/>
  <c r="I683" i="42812"/>
  <c r="H683" i="42812"/>
  <c r="G683" i="42812"/>
  <c r="F683" i="42812"/>
  <c r="E683" i="42812"/>
  <c r="D683" i="42812"/>
  <c r="C683" i="42812"/>
  <c r="B683" i="42812"/>
  <c r="K682" i="42812"/>
  <c r="J682" i="42812"/>
  <c r="I682" i="42812"/>
  <c r="H682" i="42812"/>
  <c r="G682" i="42812"/>
  <c r="F682" i="42812"/>
  <c r="E682" i="42812"/>
  <c r="D682" i="42812"/>
  <c r="C682" i="42812"/>
  <c r="B682" i="42812"/>
  <c r="K681" i="42812"/>
  <c r="J681" i="42812"/>
  <c r="I681" i="42812"/>
  <c r="H681" i="42812"/>
  <c r="G681" i="42812"/>
  <c r="F681" i="42812"/>
  <c r="E681" i="42812"/>
  <c r="D681" i="42812"/>
  <c r="C681" i="42812"/>
  <c r="B681" i="42812"/>
  <c r="K680" i="42812"/>
  <c r="J680" i="42812"/>
  <c r="I680" i="42812"/>
  <c r="H680" i="42812"/>
  <c r="G680" i="42812"/>
  <c r="F680" i="42812"/>
  <c r="E680" i="42812"/>
  <c r="D680" i="42812"/>
  <c r="C680" i="42812"/>
  <c r="B680" i="42812"/>
  <c r="K679" i="42812"/>
  <c r="J679" i="42812"/>
  <c r="I679" i="42812"/>
  <c r="H679" i="42812"/>
  <c r="G679" i="42812"/>
  <c r="F679" i="42812"/>
  <c r="E679" i="42812"/>
  <c r="D679" i="42812"/>
  <c r="C679" i="42812"/>
  <c r="B679" i="42812"/>
  <c r="K678" i="42812"/>
  <c r="J678" i="42812"/>
  <c r="I678" i="42812"/>
  <c r="H678" i="42812"/>
  <c r="G678" i="42812"/>
  <c r="F678" i="42812"/>
  <c r="E678" i="42812"/>
  <c r="D678" i="42812"/>
  <c r="C678" i="42812"/>
  <c r="B678" i="42812"/>
  <c r="K677" i="42812"/>
  <c r="J677" i="42812"/>
  <c r="I677" i="42812"/>
  <c r="H677" i="42812"/>
  <c r="G677" i="42812"/>
  <c r="F677" i="42812"/>
  <c r="E677" i="42812"/>
  <c r="D677" i="42812"/>
  <c r="C677" i="42812"/>
  <c r="B677" i="42812"/>
  <c r="K676" i="42812"/>
  <c r="J676" i="42812"/>
  <c r="I676" i="42812"/>
  <c r="H676" i="42812"/>
  <c r="G676" i="42812"/>
  <c r="F676" i="42812"/>
  <c r="E676" i="42812"/>
  <c r="D676" i="42812"/>
  <c r="C676" i="42812"/>
  <c r="B676" i="42812"/>
  <c r="K675" i="42812"/>
  <c r="J675" i="42812"/>
  <c r="I675" i="42812"/>
  <c r="H675" i="42812"/>
  <c r="G675" i="42812"/>
  <c r="F675" i="42812"/>
  <c r="E675" i="42812"/>
  <c r="D675" i="42812"/>
  <c r="C675" i="42812"/>
  <c r="B675" i="42812"/>
  <c r="K674" i="42812"/>
  <c r="J674" i="42812"/>
  <c r="I674" i="42812"/>
  <c r="H674" i="42812"/>
  <c r="G674" i="42812"/>
  <c r="F674" i="42812"/>
  <c r="E674" i="42812"/>
  <c r="D674" i="42812"/>
  <c r="C674" i="42812"/>
  <c r="B674" i="42812"/>
  <c r="K673" i="42812"/>
  <c r="J673" i="42812"/>
  <c r="I673" i="42812"/>
  <c r="H673" i="42812"/>
  <c r="G673" i="42812"/>
  <c r="F673" i="42812"/>
  <c r="E673" i="42812"/>
  <c r="D673" i="42812"/>
  <c r="C673" i="42812"/>
  <c r="B673" i="42812"/>
  <c r="K672" i="42812"/>
  <c r="J672" i="42812"/>
  <c r="I672" i="42812"/>
  <c r="H672" i="42812"/>
  <c r="G672" i="42812"/>
  <c r="F672" i="42812"/>
  <c r="E672" i="42812"/>
  <c r="D672" i="42812"/>
  <c r="C672" i="42812"/>
  <c r="B672" i="42812"/>
  <c r="K671" i="42812"/>
  <c r="J671" i="42812"/>
  <c r="I671" i="42812"/>
  <c r="H671" i="42812"/>
  <c r="G671" i="42812"/>
  <c r="F671" i="42812"/>
  <c r="E671" i="42812"/>
  <c r="D671" i="42812"/>
  <c r="C671" i="42812"/>
  <c r="B671" i="42812"/>
  <c r="K670" i="42812"/>
  <c r="J670" i="42812"/>
  <c r="I670" i="42812"/>
  <c r="H670" i="42812"/>
  <c r="G670" i="42812"/>
  <c r="F670" i="42812"/>
  <c r="E670" i="42812"/>
  <c r="D670" i="42812"/>
  <c r="C670" i="42812"/>
  <c r="B670" i="42812"/>
  <c r="K669" i="42812"/>
  <c r="J669" i="42812"/>
  <c r="I669" i="42812"/>
  <c r="H669" i="42812"/>
  <c r="G669" i="42812"/>
  <c r="F669" i="42812"/>
  <c r="E669" i="42812"/>
  <c r="D669" i="42812"/>
  <c r="C669" i="42812"/>
  <c r="B669" i="42812"/>
  <c r="K668" i="42812"/>
  <c r="J668" i="42812"/>
  <c r="I668" i="42812"/>
  <c r="H668" i="42812"/>
  <c r="G668" i="42812"/>
  <c r="F668" i="42812"/>
  <c r="E668" i="42812"/>
  <c r="D668" i="42812"/>
  <c r="C668" i="42812"/>
  <c r="B668" i="42812"/>
  <c r="K667" i="42812"/>
  <c r="J667" i="42812"/>
  <c r="I667" i="42812"/>
  <c r="H667" i="42812"/>
  <c r="G667" i="42812"/>
  <c r="F667" i="42812"/>
  <c r="E667" i="42812"/>
  <c r="D667" i="42812"/>
  <c r="C667" i="42812"/>
  <c r="B667" i="42812"/>
  <c r="K666" i="42812"/>
  <c r="J666" i="42812"/>
  <c r="I666" i="42812"/>
  <c r="H666" i="42812"/>
  <c r="G666" i="42812"/>
  <c r="F666" i="42812"/>
  <c r="E666" i="42812"/>
  <c r="D666" i="42812"/>
  <c r="C666" i="42812"/>
  <c r="B666" i="42812"/>
  <c r="K665" i="42812"/>
  <c r="J665" i="42812"/>
  <c r="I665" i="42812"/>
  <c r="H665" i="42812"/>
  <c r="G665" i="42812"/>
  <c r="F665" i="42812"/>
  <c r="E665" i="42812"/>
  <c r="D665" i="42812"/>
  <c r="C665" i="42812"/>
  <c r="B665" i="42812"/>
  <c r="K664" i="42812"/>
  <c r="J664" i="42812"/>
  <c r="I664" i="42812"/>
  <c r="H664" i="42812"/>
  <c r="G664" i="42812"/>
  <c r="F664" i="42812"/>
  <c r="E664" i="42812"/>
  <c r="D664" i="42812"/>
  <c r="C664" i="42812"/>
  <c r="B664" i="42812"/>
  <c r="K663" i="42812"/>
  <c r="J663" i="42812"/>
  <c r="I663" i="42812"/>
  <c r="H663" i="42812"/>
  <c r="G663" i="42812"/>
  <c r="F663" i="42812"/>
  <c r="E663" i="42812"/>
  <c r="D663" i="42812"/>
  <c r="C663" i="42812"/>
  <c r="B663" i="42812"/>
  <c r="K662" i="42812"/>
  <c r="J662" i="42812"/>
  <c r="I662" i="42812"/>
  <c r="H662" i="42812"/>
  <c r="G662" i="42812"/>
  <c r="F662" i="42812"/>
  <c r="E662" i="42812"/>
  <c r="D662" i="42812"/>
  <c r="C662" i="42812"/>
  <c r="B662" i="42812"/>
  <c r="K661" i="42812"/>
  <c r="J661" i="42812"/>
  <c r="I661" i="42812"/>
  <c r="H661" i="42812"/>
  <c r="G661" i="42812"/>
  <c r="F661" i="42812"/>
  <c r="E661" i="42812"/>
  <c r="D661" i="42812"/>
  <c r="C661" i="42812"/>
  <c r="B661" i="42812"/>
  <c r="K660" i="42812"/>
  <c r="J660" i="42812"/>
  <c r="I660" i="42812"/>
  <c r="H660" i="42812"/>
  <c r="G660" i="42812"/>
  <c r="F660" i="42812"/>
  <c r="E660" i="42812"/>
  <c r="D660" i="42812"/>
  <c r="C660" i="42812"/>
  <c r="B660" i="42812"/>
  <c r="K659" i="42812"/>
  <c r="J659" i="42812"/>
  <c r="I659" i="42812"/>
  <c r="H659" i="42812"/>
  <c r="G659" i="42812"/>
  <c r="F659" i="42812"/>
  <c r="E659" i="42812"/>
  <c r="D659" i="42812"/>
  <c r="C659" i="42812"/>
  <c r="B659" i="42812"/>
  <c r="K658" i="42812"/>
  <c r="J658" i="42812"/>
  <c r="I658" i="42812"/>
  <c r="H658" i="42812"/>
  <c r="G658" i="42812"/>
  <c r="F658" i="42812"/>
  <c r="E658" i="42812"/>
  <c r="D658" i="42812"/>
  <c r="C658" i="42812"/>
  <c r="B658" i="42812"/>
  <c r="K657" i="42812"/>
  <c r="J657" i="42812"/>
  <c r="I657" i="42812"/>
  <c r="H657" i="42812"/>
  <c r="G657" i="42812"/>
  <c r="F657" i="42812"/>
  <c r="E657" i="42812"/>
  <c r="D657" i="42812"/>
  <c r="C657" i="42812"/>
  <c r="B657" i="42812"/>
  <c r="K656" i="42812"/>
  <c r="J656" i="42812"/>
  <c r="I656" i="42812"/>
  <c r="H656" i="42812"/>
  <c r="G656" i="42812"/>
  <c r="F656" i="42812"/>
  <c r="E656" i="42812"/>
  <c r="D656" i="42812"/>
  <c r="C656" i="42812"/>
  <c r="B656" i="42812"/>
  <c r="K655" i="42812"/>
  <c r="J655" i="42812"/>
  <c r="I655" i="42812"/>
  <c r="H655" i="42812"/>
  <c r="G655" i="42812"/>
  <c r="F655" i="42812"/>
  <c r="E655" i="42812"/>
  <c r="D655" i="42812"/>
  <c r="C655" i="42812"/>
  <c r="B655" i="42812"/>
  <c r="K654" i="42812"/>
  <c r="J654" i="42812"/>
  <c r="I654" i="42812"/>
  <c r="H654" i="42812"/>
  <c r="G654" i="42812"/>
  <c r="F654" i="42812"/>
  <c r="E654" i="42812"/>
  <c r="D654" i="42812"/>
  <c r="C654" i="42812"/>
  <c r="B654" i="42812"/>
  <c r="K653" i="42812"/>
  <c r="J653" i="42812"/>
  <c r="I653" i="42812"/>
  <c r="H653" i="42812"/>
  <c r="G653" i="42812"/>
  <c r="F653" i="42812"/>
  <c r="E653" i="42812"/>
  <c r="D653" i="42812"/>
  <c r="C653" i="42812"/>
  <c r="B653" i="42812"/>
  <c r="K652" i="42812"/>
  <c r="J652" i="42812"/>
  <c r="I652" i="42812"/>
  <c r="H652" i="42812"/>
  <c r="G652" i="42812"/>
  <c r="F652" i="42812"/>
  <c r="E652" i="42812"/>
  <c r="D652" i="42812"/>
  <c r="C652" i="42812"/>
  <c r="B652" i="42812"/>
  <c r="K651" i="42812"/>
  <c r="J651" i="42812"/>
  <c r="I651" i="42812"/>
  <c r="H651" i="42812"/>
  <c r="G651" i="42812"/>
  <c r="F651" i="42812"/>
  <c r="E651" i="42812"/>
  <c r="D651" i="42812"/>
  <c r="C651" i="42812"/>
  <c r="B651" i="42812"/>
  <c r="K650" i="42812"/>
  <c r="J650" i="42812"/>
  <c r="I650" i="42812"/>
  <c r="H650" i="42812"/>
  <c r="G650" i="42812"/>
  <c r="F650" i="42812"/>
  <c r="E650" i="42812"/>
  <c r="D650" i="42812"/>
  <c r="C650" i="42812"/>
  <c r="B650" i="42812"/>
  <c r="K649" i="42812"/>
  <c r="J649" i="42812"/>
  <c r="I649" i="42812"/>
  <c r="H649" i="42812"/>
  <c r="G649" i="42812"/>
  <c r="F649" i="42812"/>
  <c r="E649" i="42812"/>
  <c r="D649" i="42812"/>
  <c r="C649" i="42812"/>
  <c r="B649" i="42812"/>
  <c r="K648" i="42812"/>
  <c r="J648" i="42812"/>
  <c r="I648" i="42812"/>
  <c r="H648" i="42812"/>
  <c r="G648" i="42812"/>
  <c r="F648" i="42812"/>
  <c r="E648" i="42812"/>
  <c r="D648" i="42812"/>
  <c r="C648" i="42812"/>
  <c r="B648" i="42812"/>
  <c r="K647" i="42812"/>
  <c r="J647" i="42812"/>
  <c r="I647" i="42812"/>
  <c r="H647" i="42812"/>
  <c r="G647" i="42812"/>
  <c r="F647" i="42812"/>
  <c r="E647" i="42812"/>
  <c r="D647" i="42812"/>
  <c r="C647" i="42812"/>
  <c r="B647" i="42812"/>
  <c r="K646" i="42812"/>
  <c r="J646" i="42812"/>
  <c r="I646" i="42812"/>
  <c r="H646" i="42812"/>
  <c r="G646" i="42812"/>
  <c r="F646" i="42812"/>
  <c r="E646" i="42812"/>
  <c r="D646" i="42812"/>
  <c r="C646" i="42812"/>
  <c r="B646" i="42812"/>
  <c r="K645" i="42812"/>
  <c r="J645" i="42812"/>
  <c r="I645" i="42812"/>
  <c r="H645" i="42812"/>
  <c r="G645" i="42812"/>
  <c r="F645" i="42812"/>
  <c r="E645" i="42812"/>
  <c r="D645" i="42812"/>
  <c r="C645" i="42812"/>
  <c r="B645" i="42812"/>
  <c r="K644" i="42812"/>
  <c r="J644" i="42812"/>
  <c r="I644" i="42812"/>
  <c r="H644" i="42812"/>
  <c r="G644" i="42812"/>
  <c r="F644" i="42812"/>
  <c r="E644" i="42812"/>
  <c r="D644" i="42812"/>
  <c r="C644" i="42812"/>
  <c r="B644" i="42812"/>
  <c r="K643" i="42812"/>
  <c r="J643" i="42812"/>
  <c r="I643" i="42812"/>
  <c r="H643" i="42812"/>
  <c r="G643" i="42812"/>
  <c r="F643" i="42812"/>
  <c r="E643" i="42812"/>
  <c r="D643" i="42812"/>
  <c r="C643" i="42812"/>
  <c r="B643" i="42812"/>
  <c r="K642" i="42812"/>
  <c r="J642" i="42812"/>
  <c r="I642" i="42812"/>
  <c r="H642" i="42812"/>
  <c r="G642" i="42812"/>
  <c r="F642" i="42812"/>
  <c r="E642" i="42812"/>
  <c r="D642" i="42812"/>
  <c r="C642" i="42812"/>
  <c r="B642" i="42812"/>
  <c r="K641" i="42812"/>
  <c r="J641" i="42812"/>
  <c r="I641" i="42812"/>
  <c r="H641" i="42812"/>
  <c r="G641" i="42812"/>
  <c r="F641" i="42812"/>
  <c r="E641" i="42812"/>
  <c r="D641" i="42812"/>
  <c r="C641" i="42812"/>
  <c r="B641" i="42812"/>
  <c r="K640" i="42812"/>
  <c r="J640" i="42812"/>
  <c r="I640" i="42812"/>
  <c r="H640" i="42812"/>
  <c r="G640" i="42812"/>
  <c r="F640" i="42812"/>
  <c r="E640" i="42812"/>
  <c r="D640" i="42812"/>
  <c r="C640" i="42812"/>
  <c r="B640" i="42812"/>
  <c r="K639" i="42812"/>
  <c r="J639" i="42812"/>
  <c r="I639" i="42812"/>
  <c r="H639" i="42812"/>
  <c r="G639" i="42812"/>
  <c r="F639" i="42812"/>
  <c r="E639" i="42812"/>
  <c r="D639" i="42812"/>
  <c r="C639" i="42812"/>
  <c r="B639" i="42812"/>
  <c r="K638" i="42812"/>
  <c r="J638" i="42812"/>
  <c r="I638" i="42812"/>
  <c r="H638" i="42812"/>
  <c r="G638" i="42812"/>
  <c r="F638" i="42812"/>
  <c r="E638" i="42812"/>
  <c r="D638" i="42812"/>
  <c r="C638" i="42812"/>
  <c r="B638" i="42812"/>
  <c r="K637" i="42812"/>
  <c r="J637" i="42812"/>
  <c r="I637" i="42812"/>
  <c r="H637" i="42812"/>
  <c r="G637" i="42812"/>
  <c r="F637" i="42812"/>
  <c r="E637" i="42812"/>
  <c r="D637" i="42812"/>
  <c r="C637" i="42812"/>
  <c r="B637" i="42812"/>
  <c r="K636" i="42812"/>
  <c r="J636" i="42812"/>
  <c r="I636" i="42812"/>
  <c r="H636" i="42812"/>
  <c r="G636" i="42812"/>
  <c r="F636" i="42812"/>
  <c r="E636" i="42812"/>
  <c r="D636" i="42812"/>
  <c r="C636" i="42812"/>
  <c r="B636" i="42812"/>
  <c r="K635" i="42812"/>
  <c r="J635" i="42812"/>
  <c r="I635" i="42812"/>
  <c r="H635" i="42812"/>
  <c r="G635" i="42812"/>
  <c r="F635" i="42812"/>
  <c r="E635" i="42812"/>
  <c r="D635" i="42812"/>
  <c r="C635" i="42812"/>
  <c r="B635" i="42812"/>
  <c r="K634" i="42812"/>
  <c r="J634" i="42812"/>
  <c r="I634" i="42812"/>
  <c r="H634" i="42812"/>
  <c r="G634" i="42812"/>
  <c r="F634" i="42812"/>
  <c r="E634" i="42812"/>
  <c r="D634" i="42812"/>
  <c r="C634" i="42812"/>
  <c r="B634" i="42812"/>
  <c r="K633" i="42812"/>
  <c r="J633" i="42812"/>
  <c r="I633" i="42812"/>
  <c r="H633" i="42812"/>
  <c r="G633" i="42812"/>
  <c r="F633" i="42812"/>
  <c r="E633" i="42812"/>
  <c r="D633" i="42812"/>
  <c r="C633" i="42812"/>
  <c r="B633" i="42812"/>
  <c r="K632" i="42812"/>
  <c r="J632" i="42812"/>
  <c r="I632" i="42812"/>
  <c r="H632" i="42812"/>
  <c r="G632" i="42812"/>
  <c r="F632" i="42812"/>
  <c r="E632" i="42812"/>
  <c r="D632" i="42812"/>
  <c r="C632" i="42812"/>
  <c r="B632" i="42812"/>
  <c r="K631" i="42812"/>
  <c r="J631" i="42812"/>
  <c r="I631" i="42812"/>
  <c r="H631" i="42812"/>
  <c r="G631" i="42812"/>
  <c r="F631" i="42812"/>
  <c r="E631" i="42812"/>
  <c r="D631" i="42812"/>
  <c r="C631" i="42812"/>
  <c r="B631" i="42812"/>
  <c r="K630" i="42812"/>
  <c r="J630" i="42812"/>
  <c r="I630" i="42812"/>
  <c r="H630" i="42812"/>
  <c r="G630" i="42812"/>
  <c r="F630" i="42812"/>
  <c r="E630" i="42812"/>
  <c r="D630" i="42812"/>
  <c r="C630" i="42812"/>
  <c r="B630" i="42812"/>
  <c r="K629" i="42812"/>
  <c r="J629" i="42812"/>
  <c r="I629" i="42812"/>
  <c r="H629" i="42812"/>
  <c r="G629" i="42812"/>
  <c r="F629" i="42812"/>
  <c r="E629" i="42812"/>
  <c r="D629" i="42812"/>
  <c r="C629" i="42812"/>
  <c r="B629" i="42812"/>
  <c r="K628" i="42812"/>
  <c r="J628" i="42812"/>
  <c r="I628" i="42812"/>
  <c r="H628" i="42812"/>
  <c r="G628" i="42812"/>
  <c r="F628" i="42812"/>
  <c r="E628" i="42812"/>
  <c r="D628" i="42812"/>
  <c r="C628" i="42812"/>
  <c r="B628" i="42812"/>
  <c r="K627" i="42812"/>
  <c r="J627" i="42812"/>
  <c r="I627" i="42812"/>
  <c r="H627" i="42812"/>
  <c r="G627" i="42812"/>
  <c r="F627" i="42812"/>
  <c r="E627" i="42812"/>
  <c r="D627" i="42812"/>
  <c r="C627" i="42812"/>
  <c r="B627" i="42812"/>
  <c r="K626" i="42812"/>
  <c r="J626" i="42812"/>
  <c r="I626" i="42812"/>
  <c r="H626" i="42812"/>
  <c r="G626" i="42812"/>
  <c r="F626" i="42812"/>
  <c r="E626" i="42812"/>
  <c r="D626" i="42812"/>
  <c r="C626" i="42812"/>
  <c r="B626" i="42812"/>
  <c r="K625" i="42812"/>
  <c r="J625" i="42812"/>
  <c r="I625" i="42812"/>
  <c r="H625" i="42812"/>
  <c r="G625" i="42812"/>
  <c r="F625" i="42812"/>
  <c r="E625" i="42812"/>
  <c r="D625" i="42812"/>
  <c r="C625" i="42812"/>
  <c r="B625" i="42812"/>
  <c r="K624" i="42812"/>
  <c r="J624" i="42812"/>
  <c r="I624" i="42812"/>
  <c r="H624" i="42812"/>
  <c r="G624" i="42812"/>
  <c r="F624" i="42812"/>
  <c r="E624" i="42812"/>
  <c r="D624" i="42812"/>
  <c r="C624" i="42812"/>
  <c r="B624" i="42812"/>
  <c r="K623" i="42812"/>
  <c r="J623" i="42812"/>
  <c r="I623" i="42812"/>
  <c r="H623" i="42812"/>
  <c r="G623" i="42812"/>
  <c r="F623" i="42812"/>
  <c r="E623" i="42812"/>
  <c r="D623" i="42812"/>
  <c r="C623" i="42812"/>
  <c r="B623" i="42812"/>
  <c r="K622" i="42812"/>
  <c r="J622" i="42812"/>
  <c r="I622" i="42812"/>
  <c r="H622" i="42812"/>
  <c r="G622" i="42812"/>
  <c r="F622" i="42812"/>
  <c r="E622" i="42812"/>
  <c r="D622" i="42812"/>
  <c r="C622" i="42812"/>
  <c r="B622" i="42812"/>
  <c r="K621" i="42812"/>
  <c r="J621" i="42812"/>
  <c r="I621" i="42812"/>
  <c r="H621" i="42812"/>
  <c r="G621" i="42812"/>
  <c r="F621" i="42812"/>
  <c r="E621" i="42812"/>
  <c r="D621" i="42812"/>
  <c r="C621" i="42812"/>
  <c r="B621" i="42812"/>
  <c r="K620" i="42812"/>
  <c r="J620" i="42812"/>
  <c r="I620" i="42812"/>
  <c r="H620" i="42812"/>
  <c r="G620" i="42812"/>
  <c r="F620" i="42812"/>
  <c r="E620" i="42812"/>
  <c r="D620" i="42812"/>
  <c r="C620" i="42812"/>
  <c r="B620" i="42812"/>
  <c r="K619" i="42812"/>
  <c r="J619" i="42812"/>
  <c r="I619" i="42812"/>
  <c r="H619" i="42812"/>
  <c r="G619" i="42812"/>
  <c r="F619" i="42812"/>
  <c r="E619" i="42812"/>
  <c r="D619" i="42812"/>
  <c r="C619" i="42812"/>
  <c r="B619" i="42812"/>
  <c r="K618" i="42812"/>
  <c r="J618" i="42812"/>
  <c r="I618" i="42812"/>
  <c r="H618" i="42812"/>
  <c r="G618" i="42812"/>
  <c r="F618" i="42812"/>
  <c r="E618" i="42812"/>
  <c r="D618" i="42812"/>
  <c r="C618" i="42812"/>
  <c r="B618" i="42812"/>
  <c r="K617" i="42812"/>
  <c r="J617" i="42812"/>
  <c r="I617" i="42812"/>
  <c r="H617" i="42812"/>
  <c r="G617" i="42812"/>
  <c r="F617" i="42812"/>
  <c r="E617" i="42812"/>
  <c r="D617" i="42812"/>
  <c r="C617" i="42812"/>
  <c r="B617" i="42812"/>
  <c r="K616" i="42812"/>
  <c r="J616" i="42812"/>
  <c r="I616" i="42812"/>
  <c r="H616" i="42812"/>
  <c r="G616" i="42812"/>
  <c r="F616" i="42812"/>
  <c r="E616" i="42812"/>
  <c r="D616" i="42812"/>
  <c r="C616" i="42812"/>
  <c r="B616" i="42812"/>
  <c r="K615" i="42812"/>
  <c r="J615" i="42812"/>
  <c r="I615" i="42812"/>
  <c r="H615" i="42812"/>
  <c r="G615" i="42812"/>
  <c r="F615" i="42812"/>
  <c r="E615" i="42812"/>
  <c r="D615" i="42812"/>
  <c r="C615" i="42812"/>
  <c r="B615" i="42812"/>
  <c r="K614" i="42812"/>
  <c r="J614" i="42812"/>
  <c r="I614" i="42812"/>
  <c r="H614" i="42812"/>
  <c r="G614" i="42812"/>
  <c r="F614" i="42812"/>
  <c r="E614" i="42812"/>
  <c r="D614" i="42812"/>
  <c r="C614" i="42812"/>
  <c r="B614" i="42812"/>
  <c r="K613" i="42812"/>
  <c r="J613" i="42812"/>
  <c r="I613" i="42812"/>
  <c r="H613" i="42812"/>
  <c r="G613" i="42812"/>
  <c r="F613" i="42812"/>
  <c r="E613" i="42812"/>
  <c r="D613" i="42812"/>
  <c r="C613" i="42812"/>
  <c r="B613" i="42812"/>
  <c r="K612" i="42812"/>
  <c r="J612" i="42812"/>
  <c r="I612" i="42812"/>
  <c r="H612" i="42812"/>
  <c r="G612" i="42812"/>
  <c r="F612" i="42812"/>
  <c r="E612" i="42812"/>
  <c r="D612" i="42812"/>
  <c r="C612" i="42812"/>
  <c r="B612" i="42812"/>
  <c r="K611" i="42812"/>
  <c r="J611" i="42812"/>
  <c r="I611" i="42812"/>
  <c r="H611" i="42812"/>
  <c r="G611" i="42812"/>
  <c r="F611" i="42812"/>
  <c r="E611" i="42812"/>
  <c r="D611" i="42812"/>
  <c r="C611" i="42812"/>
  <c r="B611" i="42812"/>
  <c r="K610" i="42812"/>
  <c r="J610" i="42812"/>
  <c r="I610" i="42812"/>
  <c r="H610" i="42812"/>
  <c r="G610" i="42812"/>
  <c r="F610" i="42812"/>
  <c r="E610" i="42812"/>
  <c r="D610" i="42812"/>
  <c r="C610" i="42812"/>
  <c r="B610" i="42812"/>
  <c r="K609" i="42812"/>
  <c r="J609" i="42812"/>
  <c r="I609" i="42812"/>
  <c r="H609" i="42812"/>
  <c r="G609" i="42812"/>
  <c r="F609" i="42812"/>
  <c r="E609" i="42812"/>
  <c r="D609" i="42812"/>
  <c r="C609" i="42812"/>
  <c r="B609" i="42812"/>
  <c r="K608" i="42812"/>
  <c r="J608" i="42812"/>
  <c r="I608" i="42812"/>
  <c r="H608" i="42812"/>
  <c r="G608" i="42812"/>
  <c r="F608" i="42812"/>
  <c r="E608" i="42812"/>
  <c r="D608" i="42812"/>
  <c r="C608" i="42812"/>
  <c r="B608" i="42812"/>
  <c r="K607" i="42812"/>
  <c r="J607" i="42812"/>
  <c r="I607" i="42812"/>
  <c r="H607" i="42812"/>
  <c r="G607" i="42812"/>
  <c r="F607" i="42812"/>
  <c r="E607" i="42812"/>
  <c r="D607" i="42812"/>
  <c r="C607" i="42812"/>
  <c r="B607" i="42812"/>
  <c r="K606" i="42812"/>
  <c r="J606" i="42812"/>
  <c r="I606" i="42812"/>
  <c r="H606" i="42812"/>
  <c r="G606" i="42812"/>
  <c r="F606" i="42812"/>
  <c r="E606" i="42812"/>
  <c r="D606" i="42812"/>
  <c r="C606" i="42812"/>
  <c r="B606" i="42812"/>
  <c r="K605" i="42812"/>
  <c r="J605" i="42812"/>
  <c r="I605" i="42812"/>
  <c r="H605" i="42812"/>
  <c r="G605" i="42812"/>
  <c r="F605" i="42812"/>
  <c r="E605" i="42812"/>
  <c r="D605" i="42812"/>
  <c r="C605" i="42812"/>
  <c r="B605" i="42812"/>
  <c r="K604" i="42812"/>
  <c r="J604" i="42812"/>
  <c r="I604" i="42812"/>
  <c r="H604" i="42812"/>
  <c r="G604" i="42812"/>
  <c r="F604" i="42812"/>
  <c r="E604" i="42812"/>
  <c r="D604" i="42812"/>
  <c r="C604" i="42812"/>
  <c r="B604" i="42812"/>
  <c r="K603" i="42812"/>
  <c r="J603" i="42812"/>
  <c r="I603" i="42812"/>
  <c r="H603" i="42812"/>
  <c r="G603" i="42812"/>
  <c r="F603" i="42812"/>
  <c r="E603" i="42812"/>
  <c r="D603" i="42812"/>
  <c r="C603" i="42812"/>
  <c r="B603" i="42812"/>
  <c r="K602" i="42812"/>
  <c r="J602" i="42812"/>
  <c r="I602" i="42812"/>
  <c r="H602" i="42812"/>
  <c r="G602" i="42812"/>
  <c r="F602" i="42812"/>
  <c r="E602" i="42812"/>
  <c r="D602" i="42812"/>
  <c r="C602" i="42812"/>
  <c r="B602" i="42812"/>
  <c r="K601" i="42812"/>
  <c r="J601" i="42812"/>
  <c r="I601" i="42812"/>
  <c r="H601" i="42812"/>
  <c r="G601" i="42812"/>
  <c r="F601" i="42812"/>
  <c r="E601" i="42812"/>
  <c r="D601" i="42812"/>
  <c r="C601" i="42812"/>
  <c r="B601" i="42812"/>
  <c r="K600" i="42812"/>
  <c r="J600" i="42812"/>
  <c r="I600" i="42812"/>
  <c r="H600" i="42812"/>
  <c r="G600" i="42812"/>
  <c r="F600" i="42812"/>
  <c r="E600" i="42812"/>
  <c r="D600" i="42812"/>
  <c r="C600" i="42812"/>
  <c r="B600" i="42812"/>
  <c r="K599" i="42812"/>
  <c r="J599" i="42812"/>
  <c r="I599" i="42812"/>
  <c r="H599" i="42812"/>
  <c r="G599" i="42812"/>
  <c r="F599" i="42812"/>
  <c r="E599" i="42812"/>
  <c r="D599" i="42812"/>
  <c r="C599" i="42812"/>
  <c r="B599" i="42812"/>
  <c r="K598" i="42812"/>
  <c r="J598" i="42812"/>
  <c r="I598" i="42812"/>
  <c r="H598" i="42812"/>
  <c r="G598" i="42812"/>
  <c r="F598" i="42812"/>
  <c r="E598" i="42812"/>
  <c r="D598" i="42812"/>
  <c r="C598" i="42812"/>
  <c r="B598" i="42812"/>
  <c r="K597" i="42812"/>
  <c r="J597" i="42812"/>
  <c r="I597" i="42812"/>
  <c r="H597" i="42812"/>
  <c r="G597" i="42812"/>
  <c r="F597" i="42812"/>
  <c r="E597" i="42812"/>
  <c r="D597" i="42812"/>
  <c r="C597" i="42812"/>
  <c r="B597" i="42812"/>
  <c r="K596" i="42812"/>
  <c r="J596" i="42812"/>
  <c r="I596" i="42812"/>
  <c r="H596" i="42812"/>
  <c r="G596" i="42812"/>
  <c r="F596" i="42812"/>
  <c r="E596" i="42812"/>
  <c r="D596" i="42812"/>
  <c r="C596" i="42812"/>
  <c r="B596" i="42812"/>
  <c r="K595" i="42812"/>
  <c r="J595" i="42812"/>
  <c r="I595" i="42812"/>
  <c r="H595" i="42812"/>
  <c r="G595" i="42812"/>
  <c r="F595" i="42812"/>
  <c r="E595" i="42812"/>
  <c r="D595" i="42812"/>
  <c r="C595" i="42812"/>
  <c r="B595" i="42812"/>
  <c r="K594" i="42812"/>
  <c r="J594" i="42812"/>
  <c r="I594" i="42812"/>
  <c r="H594" i="42812"/>
  <c r="G594" i="42812"/>
  <c r="F594" i="42812"/>
  <c r="E594" i="42812"/>
  <c r="D594" i="42812"/>
  <c r="C594" i="42812"/>
  <c r="B594" i="42812"/>
  <c r="K593" i="42812"/>
  <c r="J593" i="42812"/>
  <c r="I593" i="42812"/>
  <c r="H593" i="42812"/>
  <c r="G593" i="42812"/>
  <c r="F593" i="42812"/>
  <c r="E593" i="42812"/>
  <c r="D593" i="42812"/>
  <c r="C593" i="42812"/>
  <c r="B593" i="42812"/>
  <c r="K592" i="42812"/>
  <c r="J592" i="42812"/>
  <c r="I592" i="42812"/>
  <c r="H592" i="42812"/>
  <c r="G592" i="42812"/>
  <c r="F592" i="42812"/>
  <c r="E592" i="42812"/>
  <c r="D592" i="42812"/>
  <c r="C592" i="42812"/>
  <c r="B592" i="42812"/>
  <c r="K591" i="42812"/>
  <c r="J591" i="42812"/>
  <c r="I591" i="42812"/>
  <c r="H591" i="42812"/>
  <c r="G591" i="42812"/>
  <c r="F591" i="42812"/>
  <c r="E591" i="42812"/>
  <c r="D591" i="42812"/>
  <c r="C591" i="42812"/>
  <c r="B591" i="42812"/>
  <c r="K590" i="42812"/>
  <c r="J590" i="42812"/>
  <c r="I590" i="42812"/>
  <c r="H590" i="42812"/>
  <c r="G590" i="42812"/>
  <c r="F590" i="42812"/>
  <c r="E590" i="42812"/>
  <c r="D590" i="42812"/>
  <c r="C590" i="42812"/>
  <c r="B590" i="42812"/>
  <c r="K589" i="42812"/>
  <c r="J589" i="42812"/>
  <c r="I589" i="42812"/>
  <c r="H589" i="42812"/>
  <c r="G589" i="42812"/>
  <c r="F589" i="42812"/>
  <c r="E589" i="42812"/>
  <c r="D589" i="42812"/>
  <c r="C589" i="42812"/>
  <c r="B589" i="42812"/>
  <c r="K588" i="42812"/>
  <c r="J588" i="42812"/>
  <c r="I588" i="42812"/>
  <c r="H588" i="42812"/>
  <c r="G588" i="42812"/>
  <c r="F588" i="42812"/>
  <c r="E588" i="42812"/>
  <c r="D588" i="42812"/>
  <c r="C588" i="42812"/>
  <c r="B588" i="42812"/>
  <c r="K587" i="42812"/>
  <c r="J587" i="42812"/>
  <c r="I587" i="42812"/>
  <c r="H587" i="42812"/>
  <c r="G587" i="42812"/>
  <c r="F587" i="42812"/>
  <c r="E587" i="42812"/>
  <c r="D587" i="42812"/>
  <c r="C587" i="42812"/>
  <c r="B587" i="42812"/>
  <c r="K586" i="42812"/>
  <c r="J586" i="42812"/>
  <c r="I586" i="42812"/>
  <c r="H586" i="42812"/>
  <c r="G586" i="42812"/>
  <c r="F586" i="42812"/>
  <c r="E586" i="42812"/>
  <c r="D586" i="42812"/>
  <c r="C586" i="42812"/>
  <c r="B586" i="42812"/>
  <c r="K585" i="42812"/>
  <c r="J585" i="42812"/>
  <c r="I585" i="42812"/>
  <c r="H585" i="42812"/>
  <c r="G585" i="42812"/>
  <c r="F585" i="42812"/>
  <c r="E585" i="42812"/>
  <c r="D585" i="42812"/>
  <c r="C585" i="42812"/>
  <c r="B585" i="42812"/>
  <c r="K584" i="42812"/>
  <c r="J584" i="42812"/>
  <c r="I584" i="42812"/>
  <c r="H584" i="42812"/>
  <c r="G584" i="42812"/>
  <c r="F584" i="42812"/>
  <c r="E584" i="42812"/>
  <c r="D584" i="42812"/>
  <c r="C584" i="42812"/>
  <c r="B584" i="42812"/>
  <c r="K583" i="42812"/>
  <c r="J583" i="42812"/>
  <c r="I583" i="42812"/>
  <c r="H583" i="42812"/>
  <c r="G583" i="42812"/>
  <c r="F583" i="42812"/>
  <c r="E583" i="42812"/>
  <c r="D583" i="42812"/>
  <c r="C583" i="42812"/>
  <c r="B583" i="42812"/>
  <c r="K582" i="42812"/>
  <c r="J582" i="42812"/>
  <c r="I582" i="42812"/>
  <c r="H582" i="42812"/>
  <c r="G582" i="42812"/>
  <c r="F582" i="42812"/>
  <c r="E582" i="42812"/>
  <c r="D582" i="42812"/>
  <c r="C582" i="42812"/>
  <c r="B582" i="42812"/>
  <c r="K581" i="42812"/>
  <c r="J581" i="42812"/>
  <c r="I581" i="42812"/>
  <c r="H581" i="42812"/>
  <c r="G581" i="42812"/>
  <c r="F581" i="42812"/>
  <c r="E581" i="42812"/>
  <c r="D581" i="42812"/>
  <c r="C581" i="42812"/>
  <c r="B581" i="42812"/>
  <c r="K580" i="42812"/>
  <c r="J580" i="42812"/>
  <c r="I580" i="42812"/>
  <c r="H580" i="42812"/>
  <c r="G580" i="42812"/>
  <c r="F580" i="42812"/>
  <c r="E580" i="42812"/>
  <c r="D580" i="42812"/>
  <c r="C580" i="42812"/>
  <c r="B580" i="42812"/>
  <c r="K579" i="42812"/>
  <c r="J579" i="42812"/>
  <c r="I579" i="42812"/>
  <c r="H579" i="42812"/>
  <c r="G579" i="42812"/>
  <c r="F579" i="42812"/>
  <c r="E579" i="42812"/>
  <c r="D579" i="42812"/>
  <c r="C579" i="42812"/>
  <c r="B579" i="42812"/>
  <c r="K578" i="42812"/>
  <c r="J578" i="42812"/>
  <c r="I578" i="42812"/>
  <c r="H578" i="42812"/>
  <c r="G578" i="42812"/>
  <c r="F578" i="42812"/>
  <c r="E578" i="42812"/>
  <c r="D578" i="42812"/>
  <c r="C578" i="42812"/>
  <c r="B578" i="42812"/>
  <c r="K577" i="42812"/>
  <c r="J577" i="42812"/>
  <c r="I577" i="42812"/>
  <c r="H577" i="42812"/>
  <c r="G577" i="42812"/>
  <c r="F577" i="42812"/>
  <c r="E577" i="42812"/>
  <c r="D577" i="42812"/>
  <c r="C577" i="42812"/>
  <c r="B577" i="42812"/>
  <c r="K576" i="42812"/>
  <c r="J576" i="42812"/>
  <c r="I576" i="42812"/>
  <c r="H576" i="42812"/>
  <c r="G576" i="42812"/>
  <c r="F576" i="42812"/>
  <c r="E576" i="42812"/>
  <c r="D576" i="42812"/>
  <c r="C576" i="42812"/>
  <c r="B576" i="42812"/>
  <c r="K575" i="42812"/>
  <c r="J575" i="42812"/>
  <c r="I575" i="42812"/>
  <c r="H575" i="42812"/>
  <c r="G575" i="42812"/>
  <c r="F575" i="42812"/>
  <c r="E575" i="42812"/>
  <c r="D575" i="42812"/>
  <c r="C575" i="42812"/>
  <c r="B575" i="42812"/>
  <c r="K574" i="42812"/>
  <c r="J574" i="42812"/>
  <c r="I574" i="42812"/>
  <c r="H574" i="42812"/>
  <c r="G574" i="42812"/>
  <c r="F574" i="42812"/>
  <c r="E574" i="42812"/>
  <c r="D574" i="42812"/>
  <c r="C574" i="42812"/>
  <c r="B574" i="42812"/>
  <c r="K573" i="42812"/>
  <c r="J573" i="42812"/>
  <c r="I573" i="42812"/>
  <c r="H573" i="42812"/>
  <c r="G573" i="42812"/>
  <c r="F573" i="42812"/>
  <c r="E573" i="42812"/>
  <c r="D573" i="42812"/>
  <c r="C573" i="42812"/>
  <c r="B573" i="42812"/>
  <c r="K572" i="42812"/>
  <c r="J572" i="42812"/>
  <c r="I572" i="42812"/>
  <c r="H572" i="42812"/>
  <c r="G572" i="42812"/>
  <c r="F572" i="42812"/>
  <c r="E572" i="42812"/>
  <c r="D572" i="42812"/>
  <c r="C572" i="42812"/>
  <c r="B572" i="42812"/>
  <c r="K571" i="42812"/>
  <c r="J571" i="42812"/>
  <c r="I571" i="42812"/>
  <c r="H571" i="42812"/>
  <c r="G571" i="42812"/>
  <c r="F571" i="42812"/>
  <c r="E571" i="42812"/>
  <c r="D571" i="42812"/>
  <c r="C571" i="42812"/>
  <c r="B571" i="42812"/>
  <c r="K570" i="42812"/>
  <c r="J570" i="42812"/>
  <c r="I570" i="42812"/>
  <c r="H570" i="42812"/>
  <c r="G570" i="42812"/>
  <c r="F570" i="42812"/>
  <c r="E570" i="42812"/>
  <c r="D570" i="42812"/>
  <c r="C570" i="42812"/>
  <c r="B570" i="42812"/>
  <c r="K569" i="42812"/>
  <c r="J569" i="42812"/>
  <c r="I569" i="42812"/>
  <c r="H569" i="42812"/>
  <c r="G569" i="42812"/>
  <c r="F569" i="42812"/>
  <c r="E569" i="42812"/>
  <c r="D569" i="42812"/>
  <c r="C569" i="42812"/>
  <c r="B569" i="42812"/>
  <c r="K568" i="42812"/>
  <c r="J568" i="42812"/>
  <c r="I568" i="42812"/>
  <c r="H568" i="42812"/>
  <c r="G568" i="42812"/>
  <c r="F568" i="42812"/>
  <c r="E568" i="42812"/>
  <c r="D568" i="42812"/>
  <c r="C568" i="42812"/>
  <c r="B568" i="42812"/>
  <c r="K567" i="42812"/>
  <c r="J567" i="42812"/>
  <c r="I567" i="42812"/>
  <c r="H567" i="42812"/>
  <c r="G567" i="42812"/>
  <c r="F567" i="42812"/>
  <c r="E567" i="42812"/>
  <c r="D567" i="42812"/>
  <c r="C567" i="42812"/>
  <c r="B567" i="42812"/>
  <c r="K566" i="42812"/>
  <c r="J566" i="42812"/>
  <c r="I566" i="42812"/>
  <c r="H566" i="42812"/>
  <c r="G566" i="42812"/>
  <c r="F566" i="42812"/>
  <c r="E566" i="42812"/>
  <c r="D566" i="42812"/>
  <c r="C566" i="42812"/>
  <c r="B566" i="42812"/>
  <c r="K565" i="42812"/>
  <c r="J565" i="42812"/>
  <c r="I565" i="42812"/>
  <c r="H565" i="42812"/>
  <c r="G565" i="42812"/>
  <c r="F565" i="42812"/>
  <c r="E565" i="42812"/>
  <c r="D565" i="42812"/>
  <c r="C565" i="42812"/>
  <c r="B565" i="42812"/>
  <c r="K564" i="42812"/>
  <c r="J564" i="42812"/>
  <c r="I564" i="42812"/>
  <c r="H564" i="42812"/>
  <c r="G564" i="42812"/>
  <c r="F564" i="42812"/>
  <c r="E564" i="42812"/>
  <c r="D564" i="42812"/>
  <c r="C564" i="42812"/>
  <c r="B564" i="42812"/>
  <c r="K563" i="42812"/>
  <c r="J563" i="42812"/>
  <c r="I563" i="42812"/>
  <c r="H563" i="42812"/>
  <c r="G563" i="42812"/>
  <c r="F563" i="42812"/>
  <c r="E563" i="42812"/>
  <c r="D563" i="42812"/>
  <c r="C563" i="42812"/>
  <c r="B563" i="42812"/>
  <c r="K562" i="42812"/>
  <c r="J562" i="42812"/>
  <c r="I562" i="42812"/>
  <c r="H562" i="42812"/>
  <c r="G562" i="42812"/>
  <c r="F562" i="42812"/>
  <c r="E562" i="42812"/>
  <c r="D562" i="42812"/>
  <c r="C562" i="42812"/>
  <c r="B562" i="42812"/>
  <c r="K561" i="42812"/>
  <c r="J561" i="42812"/>
  <c r="I561" i="42812"/>
  <c r="H561" i="42812"/>
  <c r="G561" i="42812"/>
  <c r="F561" i="42812"/>
  <c r="E561" i="42812"/>
  <c r="D561" i="42812"/>
  <c r="C561" i="42812"/>
  <c r="B561" i="42812"/>
  <c r="K560" i="42812"/>
  <c r="J560" i="42812"/>
  <c r="I560" i="42812"/>
  <c r="H560" i="42812"/>
  <c r="G560" i="42812"/>
  <c r="F560" i="42812"/>
  <c r="E560" i="42812"/>
  <c r="D560" i="42812"/>
  <c r="C560" i="42812"/>
  <c r="B560" i="42812"/>
  <c r="K559" i="42812"/>
  <c r="J559" i="42812"/>
  <c r="I559" i="42812"/>
  <c r="H559" i="42812"/>
  <c r="G559" i="42812"/>
  <c r="F559" i="42812"/>
  <c r="E559" i="42812"/>
  <c r="D559" i="42812"/>
  <c r="C559" i="42812"/>
  <c r="B559" i="42812"/>
  <c r="K558" i="42812"/>
  <c r="J558" i="42812"/>
  <c r="I558" i="42812"/>
  <c r="H558" i="42812"/>
  <c r="G558" i="42812"/>
  <c r="F558" i="42812"/>
  <c r="E558" i="42812"/>
  <c r="D558" i="42812"/>
  <c r="C558" i="42812"/>
  <c r="B558" i="42812"/>
  <c r="K557" i="42812"/>
  <c r="J557" i="42812"/>
  <c r="I557" i="42812"/>
  <c r="H557" i="42812"/>
  <c r="G557" i="42812"/>
  <c r="F557" i="42812"/>
  <c r="E557" i="42812"/>
  <c r="D557" i="42812"/>
  <c r="C557" i="42812"/>
  <c r="B557" i="42812"/>
  <c r="K556" i="42812"/>
  <c r="J556" i="42812"/>
  <c r="I556" i="42812"/>
  <c r="H556" i="42812"/>
  <c r="G556" i="42812"/>
  <c r="F556" i="42812"/>
  <c r="E556" i="42812"/>
  <c r="D556" i="42812"/>
  <c r="C556" i="42812"/>
  <c r="B556" i="42812"/>
  <c r="K555" i="42812"/>
  <c r="J555" i="42812"/>
  <c r="I555" i="42812"/>
  <c r="H555" i="42812"/>
  <c r="G555" i="42812"/>
  <c r="F555" i="42812"/>
  <c r="E555" i="42812"/>
  <c r="D555" i="42812"/>
  <c r="C555" i="42812"/>
  <c r="B555" i="42812"/>
  <c r="K554" i="42812"/>
  <c r="J554" i="42812"/>
  <c r="I554" i="42812"/>
  <c r="H554" i="42812"/>
  <c r="G554" i="42812"/>
  <c r="F554" i="42812"/>
  <c r="E554" i="42812"/>
  <c r="D554" i="42812"/>
  <c r="C554" i="42812"/>
  <c r="B554" i="42812"/>
  <c r="K553" i="42812"/>
  <c r="J553" i="42812"/>
  <c r="I553" i="42812"/>
  <c r="H553" i="42812"/>
  <c r="G553" i="42812"/>
  <c r="F553" i="42812"/>
  <c r="E553" i="42812"/>
  <c r="D553" i="42812"/>
  <c r="C553" i="42812"/>
  <c r="B553" i="42812"/>
  <c r="K552" i="42812"/>
  <c r="J552" i="42812"/>
  <c r="I552" i="42812"/>
  <c r="H552" i="42812"/>
  <c r="G552" i="42812"/>
  <c r="F552" i="42812"/>
  <c r="E552" i="42812"/>
  <c r="D552" i="42812"/>
  <c r="C552" i="42812"/>
  <c r="B552" i="42812"/>
  <c r="K551" i="42812"/>
  <c r="J551" i="42812"/>
  <c r="I551" i="42812"/>
  <c r="H551" i="42812"/>
  <c r="G551" i="42812"/>
  <c r="F551" i="42812"/>
  <c r="E551" i="42812"/>
  <c r="D551" i="42812"/>
  <c r="C551" i="42812"/>
  <c r="B551" i="42812"/>
  <c r="K550" i="42812"/>
  <c r="J550" i="42812"/>
  <c r="I550" i="42812"/>
  <c r="H550" i="42812"/>
  <c r="G550" i="42812"/>
  <c r="F550" i="42812"/>
  <c r="E550" i="42812"/>
  <c r="D550" i="42812"/>
  <c r="C550" i="42812"/>
  <c r="B550" i="42812"/>
  <c r="K549" i="42812"/>
  <c r="J549" i="42812"/>
  <c r="I549" i="42812"/>
  <c r="H549" i="42812"/>
  <c r="G549" i="42812"/>
  <c r="F549" i="42812"/>
  <c r="E549" i="42812"/>
  <c r="D549" i="42812"/>
  <c r="C549" i="42812"/>
  <c r="B549" i="42812"/>
  <c r="K548" i="42812"/>
  <c r="J548" i="42812"/>
  <c r="I548" i="42812"/>
  <c r="H548" i="42812"/>
  <c r="G548" i="42812"/>
  <c r="F548" i="42812"/>
  <c r="E548" i="42812"/>
  <c r="D548" i="42812"/>
  <c r="C548" i="42812"/>
  <c r="B548" i="42812"/>
  <c r="K547" i="42812"/>
  <c r="J547" i="42812"/>
  <c r="I547" i="42812"/>
  <c r="H547" i="42812"/>
  <c r="G547" i="42812"/>
  <c r="F547" i="42812"/>
  <c r="E547" i="42812"/>
  <c r="D547" i="42812"/>
  <c r="C547" i="42812"/>
  <c r="B547" i="42812"/>
  <c r="K546" i="42812"/>
  <c r="J546" i="42812"/>
  <c r="I546" i="42812"/>
  <c r="H546" i="42812"/>
  <c r="G546" i="42812"/>
  <c r="F546" i="42812"/>
  <c r="E546" i="42812"/>
  <c r="D546" i="42812"/>
  <c r="C546" i="42812"/>
  <c r="B546" i="42812"/>
  <c r="K545" i="42812"/>
  <c r="J545" i="42812"/>
  <c r="I545" i="42812"/>
  <c r="H545" i="42812"/>
  <c r="G545" i="42812"/>
  <c r="F545" i="42812"/>
  <c r="E545" i="42812"/>
  <c r="D545" i="42812"/>
  <c r="C545" i="42812"/>
  <c r="B545" i="42812"/>
  <c r="K544" i="42812"/>
  <c r="J544" i="42812"/>
  <c r="I544" i="42812"/>
  <c r="H544" i="42812"/>
  <c r="G544" i="42812"/>
  <c r="F544" i="42812"/>
  <c r="E544" i="42812"/>
  <c r="D544" i="42812"/>
  <c r="C544" i="42812"/>
  <c r="B544" i="42812"/>
  <c r="K543" i="42812"/>
  <c r="J543" i="42812"/>
  <c r="I543" i="42812"/>
  <c r="H543" i="42812"/>
  <c r="G543" i="42812"/>
  <c r="F543" i="42812"/>
  <c r="E543" i="42812"/>
  <c r="D543" i="42812"/>
  <c r="C543" i="42812"/>
  <c r="B543" i="42812"/>
  <c r="K542" i="42812"/>
  <c r="J542" i="42812"/>
  <c r="I542" i="42812"/>
  <c r="H542" i="42812"/>
  <c r="G542" i="42812"/>
  <c r="F542" i="42812"/>
  <c r="E542" i="42812"/>
  <c r="D542" i="42812"/>
  <c r="C542" i="42812"/>
  <c r="B542" i="42812"/>
  <c r="K541" i="42812"/>
  <c r="J541" i="42812"/>
  <c r="I541" i="42812"/>
  <c r="H541" i="42812"/>
  <c r="G541" i="42812"/>
  <c r="F541" i="42812"/>
  <c r="E541" i="42812"/>
  <c r="D541" i="42812"/>
  <c r="C541" i="42812"/>
  <c r="B541" i="42812"/>
  <c r="K540" i="42812"/>
  <c r="J540" i="42812"/>
  <c r="I540" i="42812"/>
  <c r="H540" i="42812"/>
  <c r="G540" i="42812"/>
  <c r="F540" i="42812"/>
  <c r="E540" i="42812"/>
  <c r="D540" i="42812"/>
  <c r="C540" i="42812"/>
  <c r="B540" i="42812"/>
  <c r="K539" i="42812"/>
  <c r="J539" i="42812"/>
  <c r="I539" i="42812"/>
  <c r="H539" i="42812"/>
  <c r="G539" i="42812"/>
  <c r="F539" i="42812"/>
  <c r="E539" i="42812"/>
  <c r="D539" i="42812"/>
  <c r="C539" i="42812"/>
  <c r="B539" i="42812"/>
  <c r="K538" i="42812"/>
  <c r="J538" i="42812"/>
  <c r="I538" i="42812"/>
  <c r="H538" i="42812"/>
  <c r="G538" i="42812"/>
  <c r="F538" i="42812"/>
  <c r="E538" i="42812"/>
  <c r="D538" i="42812"/>
  <c r="C538" i="42812"/>
  <c r="B538" i="42812"/>
  <c r="K537" i="42812"/>
  <c r="J537" i="42812"/>
  <c r="I537" i="42812"/>
  <c r="H537" i="42812"/>
  <c r="G537" i="42812"/>
  <c r="F537" i="42812"/>
  <c r="E537" i="42812"/>
  <c r="D537" i="42812"/>
  <c r="C537" i="42812"/>
  <c r="B537" i="42812"/>
  <c r="K536" i="42812"/>
  <c r="J536" i="42812"/>
  <c r="I536" i="42812"/>
  <c r="H536" i="42812"/>
  <c r="G536" i="42812"/>
  <c r="F536" i="42812"/>
  <c r="E536" i="42812"/>
  <c r="D536" i="42812"/>
  <c r="C536" i="42812"/>
  <c r="B536" i="42812"/>
  <c r="K535" i="42812"/>
  <c r="J535" i="42812"/>
  <c r="I535" i="42812"/>
  <c r="H535" i="42812"/>
  <c r="G535" i="42812"/>
  <c r="F535" i="42812"/>
  <c r="E535" i="42812"/>
  <c r="D535" i="42812"/>
  <c r="C535" i="42812"/>
  <c r="B535" i="42812"/>
  <c r="K534" i="42812"/>
  <c r="J534" i="42812"/>
  <c r="I534" i="42812"/>
  <c r="H534" i="42812"/>
  <c r="G534" i="42812"/>
  <c r="F534" i="42812"/>
  <c r="E534" i="42812"/>
  <c r="D534" i="42812"/>
  <c r="C534" i="42812"/>
  <c r="B534" i="42812"/>
  <c r="K533" i="42812"/>
  <c r="J533" i="42812"/>
  <c r="I533" i="42812"/>
  <c r="H533" i="42812"/>
  <c r="G533" i="42812"/>
  <c r="F533" i="42812"/>
  <c r="E533" i="42812"/>
  <c r="D533" i="42812"/>
  <c r="C533" i="42812"/>
  <c r="B533" i="42812"/>
  <c r="K532" i="42812"/>
  <c r="J532" i="42812"/>
  <c r="I532" i="42812"/>
  <c r="H532" i="42812"/>
  <c r="G532" i="42812"/>
  <c r="F532" i="42812"/>
  <c r="E532" i="42812"/>
  <c r="D532" i="42812"/>
  <c r="C532" i="42812"/>
  <c r="B532" i="42812"/>
  <c r="K531" i="42812"/>
  <c r="J531" i="42812"/>
  <c r="I531" i="42812"/>
  <c r="H531" i="42812"/>
  <c r="G531" i="42812"/>
  <c r="F531" i="42812"/>
  <c r="E531" i="42812"/>
  <c r="D531" i="42812"/>
  <c r="C531" i="42812"/>
  <c r="B531" i="42812"/>
  <c r="K530" i="42812"/>
  <c r="J530" i="42812"/>
  <c r="I530" i="42812"/>
  <c r="H530" i="42812"/>
  <c r="G530" i="42812"/>
  <c r="F530" i="42812"/>
  <c r="E530" i="42812"/>
  <c r="D530" i="42812"/>
  <c r="C530" i="42812"/>
  <c r="B530" i="42812"/>
  <c r="K529" i="42812"/>
  <c r="J529" i="42812"/>
  <c r="I529" i="42812"/>
  <c r="H529" i="42812"/>
  <c r="G529" i="42812"/>
  <c r="F529" i="42812"/>
  <c r="E529" i="42812"/>
  <c r="D529" i="42812"/>
  <c r="C529" i="42812"/>
  <c r="B529" i="42812"/>
  <c r="K528" i="42812"/>
  <c r="J528" i="42812"/>
  <c r="I528" i="42812"/>
  <c r="H528" i="42812"/>
  <c r="G528" i="42812"/>
  <c r="F528" i="42812"/>
  <c r="E528" i="42812"/>
  <c r="D528" i="42812"/>
  <c r="C528" i="42812"/>
  <c r="B528" i="42812"/>
  <c r="K527" i="42812"/>
  <c r="J527" i="42812"/>
  <c r="I527" i="42812"/>
  <c r="H527" i="42812"/>
  <c r="G527" i="42812"/>
  <c r="F527" i="42812"/>
  <c r="E527" i="42812"/>
  <c r="D527" i="42812"/>
  <c r="C527" i="42812"/>
  <c r="B527" i="42812"/>
  <c r="K526" i="42812"/>
  <c r="J526" i="42812"/>
  <c r="I526" i="42812"/>
  <c r="H526" i="42812"/>
  <c r="G526" i="42812"/>
  <c r="F526" i="42812"/>
  <c r="E526" i="42812"/>
  <c r="D526" i="42812"/>
  <c r="C526" i="42812"/>
  <c r="B526" i="42812"/>
  <c r="K525" i="42812"/>
  <c r="J525" i="42812"/>
  <c r="I525" i="42812"/>
  <c r="H525" i="42812"/>
  <c r="G525" i="42812"/>
  <c r="F525" i="42812"/>
  <c r="E525" i="42812"/>
  <c r="D525" i="42812"/>
  <c r="C525" i="42812"/>
  <c r="B525" i="42812"/>
  <c r="K524" i="42812"/>
  <c r="J524" i="42812"/>
  <c r="I524" i="42812"/>
  <c r="H524" i="42812"/>
  <c r="G524" i="42812"/>
  <c r="F524" i="42812"/>
  <c r="E524" i="42812"/>
  <c r="D524" i="42812"/>
  <c r="C524" i="42812"/>
  <c r="B524" i="42812"/>
  <c r="K523" i="42812"/>
  <c r="J523" i="42812"/>
  <c r="I523" i="42812"/>
  <c r="H523" i="42812"/>
  <c r="G523" i="42812"/>
  <c r="F523" i="42812"/>
  <c r="E523" i="42812"/>
  <c r="D523" i="42812"/>
  <c r="C523" i="42812"/>
  <c r="B523" i="42812"/>
  <c r="K522" i="42812"/>
  <c r="J522" i="42812"/>
  <c r="I522" i="42812"/>
  <c r="H522" i="42812"/>
  <c r="G522" i="42812"/>
  <c r="F522" i="42812"/>
  <c r="E522" i="42812"/>
  <c r="D522" i="42812"/>
  <c r="C522" i="42812"/>
  <c r="B522" i="42812"/>
  <c r="K521" i="42812"/>
  <c r="J521" i="42812"/>
  <c r="I521" i="42812"/>
  <c r="H521" i="42812"/>
  <c r="G521" i="42812"/>
  <c r="F521" i="42812"/>
  <c r="E521" i="42812"/>
  <c r="D521" i="42812"/>
  <c r="C521" i="42812"/>
  <c r="B521" i="42812"/>
  <c r="K520" i="42812"/>
  <c r="J520" i="42812"/>
  <c r="I520" i="42812"/>
  <c r="H520" i="42812"/>
  <c r="G520" i="42812"/>
  <c r="F520" i="42812"/>
  <c r="E520" i="42812"/>
  <c r="D520" i="42812"/>
  <c r="C520" i="42812"/>
  <c r="B520" i="42812"/>
  <c r="K519" i="42812"/>
  <c r="J519" i="42812"/>
  <c r="I519" i="42812"/>
  <c r="H519" i="42812"/>
  <c r="G519" i="42812"/>
  <c r="F519" i="42812"/>
  <c r="E519" i="42812"/>
  <c r="D519" i="42812"/>
  <c r="C519" i="42812"/>
  <c r="B519" i="42812"/>
  <c r="K518" i="42812"/>
  <c r="J518" i="42812"/>
  <c r="I518" i="42812"/>
  <c r="H518" i="42812"/>
  <c r="G518" i="42812"/>
  <c r="F518" i="42812"/>
  <c r="E518" i="42812"/>
  <c r="D518" i="42812"/>
  <c r="C518" i="42812"/>
  <c r="B518" i="42812"/>
  <c r="K517" i="42812"/>
  <c r="J517" i="42812"/>
  <c r="I517" i="42812"/>
  <c r="H517" i="42812"/>
  <c r="G517" i="42812"/>
  <c r="F517" i="42812"/>
  <c r="E517" i="42812"/>
  <c r="D517" i="42812"/>
  <c r="C517" i="42812"/>
  <c r="B517" i="42812"/>
  <c r="K516" i="42812"/>
  <c r="J516" i="42812"/>
  <c r="I516" i="42812"/>
  <c r="H516" i="42812"/>
  <c r="G516" i="42812"/>
  <c r="F516" i="42812"/>
  <c r="E516" i="42812"/>
  <c r="D516" i="42812"/>
  <c r="C516" i="42812"/>
  <c r="B516" i="42812"/>
  <c r="K515" i="42812"/>
  <c r="J515" i="42812"/>
  <c r="I515" i="42812"/>
  <c r="H515" i="42812"/>
  <c r="G515" i="42812"/>
  <c r="F515" i="42812"/>
  <c r="E515" i="42812"/>
  <c r="D515" i="42812"/>
  <c r="C515" i="42812"/>
  <c r="B515" i="42812"/>
  <c r="K514" i="42812"/>
  <c r="J514" i="42812"/>
  <c r="I514" i="42812"/>
  <c r="H514" i="42812"/>
  <c r="G514" i="42812"/>
  <c r="F514" i="42812"/>
  <c r="E514" i="42812"/>
  <c r="D514" i="42812"/>
  <c r="C514" i="42812"/>
  <c r="B514" i="42812"/>
  <c r="K513" i="42812"/>
  <c r="J513" i="42812"/>
  <c r="I513" i="42812"/>
  <c r="H513" i="42812"/>
  <c r="G513" i="42812"/>
  <c r="F513" i="42812"/>
  <c r="E513" i="42812"/>
  <c r="D513" i="42812"/>
  <c r="C513" i="42812"/>
  <c r="B513" i="42812"/>
  <c r="K512" i="42812"/>
  <c r="J512" i="42812"/>
  <c r="I512" i="42812"/>
  <c r="H512" i="42812"/>
  <c r="G512" i="42812"/>
  <c r="F512" i="42812"/>
  <c r="E512" i="42812"/>
  <c r="D512" i="42812"/>
  <c r="C512" i="42812"/>
  <c r="B512" i="42812"/>
  <c r="K511" i="42812"/>
  <c r="J511" i="42812"/>
  <c r="I511" i="42812"/>
  <c r="H511" i="42812"/>
  <c r="G511" i="42812"/>
  <c r="F511" i="42812"/>
  <c r="E511" i="42812"/>
  <c r="D511" i="42812"/>
  <c r="C511" i="42812"/>
  <c r="B511" i="42812"/>
  <c r="K510" i="42812"/>
  <c r="J510" i="42812"/>
  <c r="I510" i="42812"/>
  <c r="H510" i="42812"/>
  <c r="G510" i="42812"/>
  <c r="F510" i="42812"/>
  <c r="E510" i="42812"/>
  <c r="D510" i="42812"/>
  <c r="C510" i="42812"/>
  <c r="B510" i="42812"/>
  <c r="K509" i="42812"/>
  <c r="J509" i="42812"/>
  <c r="I509" i="42812"/>
  <c r="H509" i="42812"/>
  <c r="G509" i="42812"/>
  <c r="F509" i="42812"/>
  <c r="E509" i="42812"/>
  <c r="D509" i="42812"/>
  <c r="C509" i="42812"/>
  <c r="B509" i="42812"/>
  <c r="K508" i="42812"/>
  <c r="J508" i="42812"/>
  <c r="I508" i="42812"/>
  <c r="H508" i="42812"/>
  <c r="G508" i="42812"/>
  <c r="F508" i="42812"/>
  <c r="E508" i="42812"/>
  <c r="D508" i="42812"/>
  <c r="C508" i="42812"/>
  <c r="B508" i="42812"/>
  <c r="K507" i="42812"/>
  <c r="J507" i="42812"/>
  <c r="I507" i="42812"/>
  <c r="H507" i="42812"/>
  <c r="G507" i="42812"/>
  <c r="F507" i="42812"/>
  <c r="E507" i="42812"/>
  <c r="D507" i="42812"/>
  <c r="C507" i="42812"/>
  <c r="B507" i="42812"/>
  <c r="K506" i="42812"/>
  <c r="J506" i="42812"/>
  <c r="I506" i="42812"/>
  <c r="H506" i="42812"/>
  <c r="G506" i="42812"/>
  <c r="F506" i="42812"/>
  <c r="E506" i="42812"/>
  <c r="D506" i="42812"/>
  <c r="C506" i="42812"/>
  <c r="B506" i="42812"/>
  <c r="K505" i="42812"/>
  <c r="J505" i="42812"/>
  <c r="I505" i="42812"/>
  <c r="H505" i="42812"/>
  <c r="G505" i="42812"/>
  <c r="F505" i="42812"/>
  <c r="E505" i="42812"/>
  <c r="D505" i="42812"/>
  <c r="C505" i="42812"/>
  <c r="B505" i="42812"/>
  <c r="K504" i="42812"/>
  <c r="J504" i="42812"/>
  <c r="I504" i="42812"/>
  <c r="H504" i="42812"/>
  <c r="G504" i="42812"/>
  <c r="F504" i="42812"/>
  <c r="E504" i="42812"/>
  <c r="D504" i="42812"/>
  <c r="C504" i="42812"/>
  <c r="B504" i="42812"/>
  <c r="K503" i="42812"/>
  <c r="J503" i="42812"/>
  <c r="I503" i="42812"/>
  <c r="H503" i="42812"/>
  <c r="G503" i="42812"/>
  <c r="F503" i="42812"/>
  <c r="E503" i="42812"/>
  <c r="D503" i="42812"/>
  <c r="C503" i="42812"/>
  <c r="B503" i="42812"/>
  <c r="K502" i="42812"/>
  <c r="J502" i="42812"/>
  <c r="I502" i="42812"/>
  <c r="H502" i="42812"/>
  <c r="G502" i="42812"/>
  <c r="F502" i="42812"/>
  <c r="E502" i="42812"/>
  <c r="D502" i="42812"/>
  <c r="C502" i="42812"/>
  <c r="B502" i="42812"/>
  <c r="K501" i="42812"/>
  <c r="J501" i="42812"/>
  <c r="I501" i="42812"/>
  <c r="H501" i="42812"/>
  <c r="G501" i="42812"/>
  <c r="F501" i="42812"/>
  <c r="E501" i="42812"/>
  <c r="D501" i="42812"/>
  <c r="C501" i="42812"/>
  <c r="B501" i="42812"/>
  <c r="K500" i="42812"/>
  <c r="J500" i="42812"/>
  <c r="I500" i="42812"/>
  <c r="H500" i="42812"/>
  <c r="G500" i="42812"/>
  <c r="F500" i="42812"/>
  <c r="E500" i="42812"/>
  <c r="D500" i="42812"/>
  <c r="C500" i="42812"/>
  <c r="B500" i="42812"/>
  <c r="K499" i="42812"/>
  <c r="J499" i="42812"/>
  <c r="I499" i="42812"/>
  <c r="H499" i="42812"/>
  <c r="G499" i="42812"/>
  <c r="F499" i="42812"/>
  <c r="E499" i="42812"/>
  <c r="D499" i="42812"/>
  <c r="C499" i="42812"/>
  <c r="B499" i="42812"/>
  <c r="K498" i="42812"/>
  <c r="J498" i="42812"/>
  <c r="I498" i="42812"/>
  <c r="H498" i="42812"/>
  <c r="G498" i="42812"/>
  <c r="F498" i="42812"/>
  <c r="E498" i="42812"/>
  <c r="D498" i="42812"/>
  <c r="C498" i="42812"/>
  <c r="B498" i="42812"/>
  <c r="K497" i="42812"/>
  <c r="J497" i="42812"/>
  <c r="I497" i="42812"/>
  <c r="H497" i="42812"/>
  <c r="G497" i="42812"/>
  <c r="F497" i="42812"/>
  <c r="E497" i="42812"/>
  <c r="D497" i="42812"/>
  <c r="C497" i="42812"/>
  <c r="B497" i="42812"/>
  <c r="K496" i="42812"/>
  <c r="J496" i="42812"/>
  <c r="I496" i="42812"/>
  <c r="H496" i="42812"/>
  <c r="G496" i="42812"/>
  <c r="F496" i="42812"/>
  <c r="E496" i="42812"/>
  <c r="D496" i="42812"/>
  <c r="C496" i="42812"/>
  <c r="B496" i="42812"/>
  <c r="K495" i="42812"/>
  <c r="J495" i="42812"/>
  <c r="I495" i="42812"/>
  <c r="H495" i="42812"/>
  <c r="G495" i="42812"/>
  <c r="F495" i="42812"/>
  <c r="E495" i="42812"/>
  <c r="D495" i="42812"/>
  <c r="C495" i="42812"/>
  <c r="B495" i="42812"/>
  <c r="K494" i="42812"/>
  <c r="J494" i="42812"/>
  <c r="I494" i="42812"/>
  <c r="H494" i="42812"/>
  <c r="G494" i="42812"/>
  <c r="F494" i="42812"/>
  <c r="E494" i="42812"/>
  <c r="D494" i="42812"/>
  <c r="C494" i="42812"/>
  <c r="B494" i="42812"/>
  <c r="K493" i="42812"/>
  <c r="J493" i="42812"/>
  <c r="I493" i="42812"/>
  <c r="H493" i="42812"/>
  <c r="G493" i="42812"/>
  <c r="F493" i="42812"/>
  <c r="E493" i="42812"/>
  <c r="D493" i="42812"/>
  <c r="C493" i="42812"/>
  <c r="B493" i="42812"/>
  <c r="K492" i="42812"/>
  <c r="J492" i="42812"/>
  <c r="I492" i="42812"/>
  <c r="H492" i="42812"/>
  <c r="G492" i="42812"/>
  <c r="F492" i="42812"/>
  <c r="E492" i="42812"/>
  <c r="D492" i="42812"/>
  <c r="C492" i="42812"/>
  <c r="B492" i="42812"/>
  <c r="K491" i="42812"/>
  <c r="J491" i="42812"/>
  <c r="I491" i="42812"/>
  <c r="H491" i="42812"/>
  <c r="G491" i="42812"/>
  <c r="F491" i="42812"/>
  <c r="E491" i="42812"/>
  <c r="D491" i="42812"/>
  <c r="C491" i="42812"/>
  <c r="B491" i="42812"/>
  <c r="K490" i="42812"/>
  <c r="J490" i="42812"/>
  <c r="I490" i="42812"/>
  <c r="H490" i="42812"/>
  <c r="G490" i="42812"/>
  <c r="F490" i="42812"/>
  <c r="E490" i="42812"/>
  <c r="D490" i="42812"/>
  <c r="C490" i="42812"/>
  <c r="B490" i="42812"/>
  <c r="K489" i="42812"/>
  <c r="J489" i="42812"/>
  <c r="I489" i="42812"/>
  <c r="H489" i="42812"/>
  <c r="G489" i="42812"/>
  <c r="F489" i="42812"/>
  <c r="E489" i="42812"/>
  <c r="D489" i="42812"/>
  <c r="C489" i="42812"/>
  <c r="B489" i="42812"/>
  <c r="K488" i="42812"/>
  <c r="J488" i="42812"/>
  <c r="I488" i="42812"/>
  <c r="H488" i="42812"/>
  <c r="G488" i="42812"/>
  <c r="F488" i="42812"/>
  <c r="E488" i="42812"/>
  <c r="D488" i="42812"/>
  <c r="C488" i="42812"/>
  <c r="B488" i="42812"/>
  <c r="K487" i="42812"/>
  <c r="J487" i="42812"/>
  <c r="I487" i="42812"/>
  <c r="H487" i="42812"/>
  <c r="G487" i="42812"/>
  <c r="F487" i="42812"/>
  <c r="E487" i="42812"/>
  <c r="D487" i="42812"/>
  <c r="C487" i="42812"/>
  <c r="B487" i="42812"/>
  <c r="K486" i="42812"/>
  <c r="J486" i="42812"/>
  <c r="I486" i="42812"/>
  <c r="H486" i="42812"/>
  <c r="G486" i="42812"/>
  <c r="F486" i="42812"/>
  <c r="E486" i="42812"/>
  <c r="D486" i="42812"/>
  <c r="C486" i="42812"/>
  <c r="B486" i="42812"/>
  <c r="K485" i="42812"/>
  <c r="J485" i="42812"/>
  <c r="I485" i="42812"/>
  <c r="H485" i="42812"/>
  <c r="G485" i="42812"/>
  <c r="F485" i="42812"/>
  <c r="E485" i="42812"/>
  <c r="D485" i="42812"/>
  <c r="C485" i="42812"/>
  <c r="B485" i="42812"/>
  <c r="K484" i="42812"/>
  <c r="J484" i="42812"/>
  <c r="I484" i="42812"/>
  <c r="H484" i="42812"/>
  <c r="G484" i="42812"/>
  <c r="F484" i="42812"/>
  <c r="E484" i="42812"/>
  <c r="D484" i="42812"/>
  <c r="C484" i="42812"/>
  <c r="B484" i="42812"/>
  <c r="K483" i="42812"/>
  <c r="J483" i="42812"/>
  <c r="I483" i="42812"/>
  <c r="H483" i="42812"/>
  <c r="G483" i="42812"/>
  <c r="F483" i="42812"/>
  <c r="E483" i="42812"/>
  <c r="D483" i="42812"/>
  <c r="C483" i="42812"/>
  <c r="B483" i="42812"/>
  <c r="K482" i="42812"/>
  <c r="J482" i="42812"/>
  <c r="I482" i="42812"/>
  <c r="H482" i="42812"/>
  <c r="G482" i="42812"/>
  <c r="F482" i="42812"/>
  <c r="E482" i="42812"/>
  <c r="D482" i="42812"/>
  <c r="C482" i="42812"/>
  <c r="B482" i="42812"/>
  <c r="K481" i="42812"/>
  <c r="J481" i="42812"/>
  <c r="I481" i="42812"/>
  <c r="H481" i="42812"/>
  <c r="G481" i="42812"/>
  <c r="F481" i="42812"/>
  <c r="E481" i="42812"/>
  <c r="D481" i="42812"/>
  <c r="C481" i="42812"/>
  <c r="B481" i="42812"/>
  <c r="K480" i="42812"/>
  <c r="J480" i="42812"/>
  <c r="I480" i="42812"/>
  <c r="H480" i="42812"/>
  <c r="G480" i="42812"/>
  <c r="F480" i="42812"/>
  <c r="E480" i="42812"/>
  <c r="D480" i="42812"/>
  <c r="C480" i="42812"/>
  <c r="B480" i="42812"/>
  <c r="K479" i="42812"/>
  <c r="J479" i="42812"/>
  <c r="I479" i="42812"/>
  <c r="H479" i="42812"/>
  <c r="G479" i="42812"/>
  <c r="F479" i="42812"/>
  <c r="E479" i="42812"/>
  <c r="D479" i="42812"/>
  <c r="C479" i="42812"/>
  <c r="B479" i="42812"/>
  <c r="K478" i="42812"/>
  <c r="J478" i="42812"/>
  <c r="I478" i="42812"/>
  <c r="H478" i="42812"/>
  <c r="G478" i="42812"/>
  <c r="F478" i="42812"/>
  <c r="E478" i="42812"/>
  <c r="D478" i="42812"/>
  <c r="C478" i="42812"/>
  <c r="B478" i="42812"/>
  <c r="K477" i="42812"/>
  <c r="J477" i="42812"/>
  <c r="I477" i="42812"/>
  <c r="H477" i="42812"/>
  <c r="G477" i="42812"/>
  <c r="F477" i="42812"/>
  <c r="E477" i="42812"/>
  <c r="D477" i="42812"/>
  <c r="C477" i="42812"/>
  <c r="B477" i="42812"/>
  <c r="K476" i="42812"/>
  <c r="J476" i="42812"/>
  <c r="I476" i="42812"/>
  <c r="H476" i="42812"/>
  <c r="G476" i="42812"/>
  <c r="F476" i="42812"/>
  <c r="E476" i="42812"/>
  <c r="D476" i="42812"/>
  <c r="C476" i="42812"/>
  <c r="B476" i="42812"/>
  <c r="K475" i="42812"/>
  <c r="J475" i="42812"/>
  <c r="I475" i="42812"/>
  <c r="H475" i="42812"/>
  <c r="G475" i="42812"/>
  <c r="F475" i="42812"/>
  <c r="E475" i="42812"/>
  <c r="D475" i="42812"/>
  <c r="C475" i="42812"/>
  <c r="B475" i="42812"/>
  <c r="K474" i="42812"/>
  <c r="J474" i="42812"/>
  <c r="I474" i="42812"/>
  <c r="H474" i="42812"/>
  <c r="G474" i="42812"/>
  <c r="F474" i="42812"/>
  <c r="E474" i="42812"/>
  <c r="D474" i="42812"/>
  <c r="C474" i="42812"/>
  <c r="B474" i="42812"/>
  <c r="K473" i="42812"/>
  <c r="J473" i="42812"/>
  <c r="I473" i="42812"/>
  <c r="H473" i="42812"/>
  <c r="G473" i="42812"/>
  <c r="F473" i="42812"/>
  <c r="E473" i="42812"/>
  <c r="D473" i="42812"/>
  <c r="C473" i="42812"/>
  <c r="B473" i="42812"/>
  <c r="K472" i="42812"/>
  <c r="J472" i="42812"/>
  <c r="I472" i="42812"/>
  <c r="H472" i="42812"/>
  <c r="G472" i="42812"/>
  <c r="F472" i="42812"/>
  <c r="E472" i="42812"/>
  <c r="D472" i="42812"/>
  <c r="C472" i="42812"/>
  <c r="B472" i="42812"/>
  <c r="K471" i="42812"/>
  <c r="J471" i="42812"/>
  <c r="I471" i="42812"/>
  <c r="H471" i="42812"/>
  <c r="G471" i="42812"/>
  <c r="F471" i="42812"/>
  <c r="E471" i="42812"/>
  <c r="D471" i="42812"/>
  <c r="C471" i="42812"/>
  <c r="B471" i="42812"/>
  <c r="K470" i="42812"/>
  <c r="J470" i="42812"/>
  <c r="I470" i="42812"/>
  <c r="H470" i="42812"/>
  <c r="G470" i="42812"/>
  <c r="F470" i="42812"/>
  <c r="E470" i="42812"/>
  <c r="D470" i="42812"/>
  <c r="C470" i="42812"/>
  <c r="B470" i="42812"/>
  <c r="K469" i="42812"/>
  <c r="J469" i="42812"/>
  <c r="I469" i="42812"/>
  <c r="H469" i="42812"/>
  <c r="G469" i="42812"/>
  <c r="F469" i="42812"/>
  <c r="E469" i="42812"/>
  <c r="D469" i="42812"/>
  <c r="C469" i="42812"/>
  <c r="B469" i="42812"/>
  <c r="K468" i="42812"/>
  <c r="J468" i="42812"/>
  <c r="I468" i="42812"/>
  <c r="H468" i="42812"/>
  <c r="G468" i="42812"/>
  <c r="F468" i="42812"/>
  <c r="E468" i="42812"/>
  <c r="D468" i="42812"/>
  <c r="C468" i="42812"/>
  <c r="B468" i="42812"/>
  <c r="K467" i="42812"/>
  <c r="J467" i="42812"/>
  <c r="I467" i="42812"/>
  <c r="H467" i="42812"/>
  <c r="G467" i="42812"/>
  <c r="F467" i="42812"/>
  <c r="E467" i="42812"/>
  <c r="D467" i="42812"/>
  <c r="C467" i="42812"/>
  <c r="B467" i="42812"/>
  <c r="K466" i="42812"/>
  <c r="J466" i="42812"/>
  <c r="I466" i="42812"/>
  <c r="H466" i="42812"/>
  <c r="G466" i="42812"/>
  <c r="F466" i="42812"/>
  <c r="E466" i="42812"/>
  <c r="D466" i="42812"/>
  <c r="C466" i="42812"/>
  <c r="B466" i="42812"/>
  <c r="K465" i="42812"/>
  <c r="J465" i="42812"/>
  <c r="I465" i="42812"/>
  <c r="H465" i="42812"/>
  <c r="G465" i="42812"/>
  <c r="F465" i="42812"/>
  <c r="E465" i="42812"/>
  <c r="D465" i="42812"/>
  <c r="C465" i="42812"/>
  <c r="B465" i="42812"/>
  <c r="K464" i="42812"/>
  <c r="J464" i="42812"/>
  <c r="I464" i="42812"/>
  <c r="H464" i="42812"/>
  <c r="G464" i="42812"/>
  <c r="F464" i="42812"/>
  <c r="E464" i="42812"/>
  <c r="D464" i="42812"/>
  <c r="C464" i="42812"/>
  <c r="B464" i="42812"/>
  <c r="K463" i="42812"/>
  <c r="J463" i="42812"/>
  <c r="I463" i="42812"/>
  <c r="H463" i="42812"/>
  <c r="G463" i="42812"/>
  <c r="F463" i="42812"/>
  <c r="E463" i="42812"/>
  <c r="D463" i="42812"/>
  <c r="C463" i="42812"/>
  <c r="B463" i="42812"/>
  <c r="K462" i="42812"/>
  <c r="J462" i="42812"/>
  <c r="I462" i="42812"/>
  <c r="H462" i="42812"/>
  <c r="G462" i="42812"/>
  <c r="F462" i="42812"/>
  <c r="E462" i="42812"/>
  <c r="D462" i="42812"/>
  <c r="C462" i="42812"/>
  <c r="B462" i="42812"/>
  <c r="K461" i="42812"/>
  <c r="J461" i="42812"/>
  <c r="I461" i="42812"/>
  <c r="H461" i="42812"/>
  <c r="G461" i="42812"/>
  <c r="F461" i="42812"/>
  <c r="E461" i="42812"/>
  <c r="D461" i="42812"/>
  <c r="C461" i="42812"/>
  <c r="B461" i="42812"/>
  <c r="K460" i="42812"/>
  <c r="J460" i="42812"/>
  <c r="I460" i="42812"/>
  <c r="H460" i="42812"/>
  <c r="G460" i="42812"/>
  <c r="F460" i="42812"/>
  <c r="E460" i="42812"/>
  <c r="D460" i="42812"/>
  <c r="C460" i="42812"/>
  <c r="B460" i="42812"/>
  <c r="K459" i="42812"/>
  <c r="J459" i="42812"/>
  <c r="I459" i="42812"/>
  <c r="H459" i="42812"/>
  <c r="G459" i="42812"/>
  <c r="F459" i="42812"/>
  <c r="E459" i="42812"/>
  <c r="D459" i="42812"/>
  <c r="C459" i="42812"/>
  <c r="B459" i="42812"/>
  <c r="K458" i="42812"/>
  <c r="J458" i="42812"/>
  <c r="I458" i="42812"/>
  <c r="H458" i="42812"/>
  <c r="G458" i="42812"/>
  <c r="F458" i="42812"/>
  <c r="E458" i="42812"/>
  <c r="D458" i="42812"/>
  <c r="C458" i="42812"/>
  <c r="B458" i="42812"/>
  <c r="K457" i="42812"/>
  <c r="J457" i="42812"/>
  <c r="I457" i="42812"/>
  <c r="H457" i="42812"/>
  <c r="G457" i="42812"/>
  <c r="F457" i="42812"/>
  <c r="E457" i="42812"/>
  <c r="D457" i="42812"/>
  <c r="C457" i="42812"/>
  <c r="B457" i="42812"/>
  <c r="K456" i="42812"/>
  <c r="J456" i="42812"/>
  <c r="I456" i="42812"/>
  <c r="H456" i="42812"/>
  <c r="G456" i="42812"/>
  <c r="F456" i="42812"/>
  <c r="E456" i="42812"/>
  <c r="D456" i="42812"/>
  <c r="C456" i="42812"/>
  <c r="B456" i="42812"/>
  <c r="K455" i="42812"/>
  <c r="J455" i="42812"/>
  <c r="I455" i="42812"/>
  <c r="H455" i="42812"/>
  <c r="G455" i="42812"/>
  <c r="F455" i="42812"/>
  <c r="E455" i="42812"/>
  <c r="D455" i="42812"/>
  <c r="C455" i="42812"/>
  <c r="B455" i="42812"/>
  <c r="K454" i="42812"/>
  <c r="J454" i="42812"/>
  <c r="I454" i="42812"/>
  <c r="H454" i="42812"/>
  <c r="G454" i="42812"/>
  <c r="F454" i="42812"/>
  <c r="E454" i="42812"/>
  <c r="D454" i="42812"/>
  <c r="C454" i="42812"/>
  <c r="B454" i="42812"/>
  <c r="K453" i="42812"/>
  <c r="J453" i="42812"/>
  <c r="I453" i="42812"/>
  <c r="H453" i="42812"/>
  <c r="G453" i="42812"/>
  <c r="F453" i="42812"/>
  <c r="E453" i="42812"/>
  <c r="D453" i="42812"/>
  <c r="C453" i="42812"/>
  <c r="B453" i="42812"/>
  <c r="K452" i="42812"/>
  <c r="J452" i="42812"/>
  <c r="I452" i="42812"/>
  <c r="H452" i="42812"/>
  <c r="G452" i="42812"/>
  <c r="F452" i="42812"/>
  <c r="E452" i="42812"/>
  <c r="D452" i="42812"/>
  <c r="C452" i="42812"/>
  <c r="B452" i="42812"/>
  <c r="K451" i="42812"/>
  <c r="J451" i="42812"/>
  <c r="I451" i="42812"/>
  <c r="H451" i="42812"/>
  <c r="G451" i="42812"/>
  <c r="F451" i="42812"/>
  <c r="E451" i="42812"/>
  <c r="D451" i="42812"/>
  <c r="C451" i="42812"/>
  <c r="B451" i="42812"/>
  <c r="K450" i="42812"/>
  <c r="J450" i="42812"/>
  <c r="I450" i="42812"/>
  <c r="H450" i="42812"/>
  <c r="G450" i="42812"/>
  <c r="F450" i="42812"/>
  <c r="E450" i="42812"/>
  <c r="D450" i="42812"/>
  <c r="C450" i="42812"/>
  <c r="B450" i="42812"/>
  <c r="K449" i="42812"/>
  <c r="J449" i="42812"/>
  <c r="I449" i="42812"/>
  <c r="H449" i="42812"/>
  <c r="G449" i="42812"/>
  <c r="F449" i="42812"/>
  <c r="E449" i="42812"/>
  <c r="D449" i="42812"/>
  <c r="C449" i="42812"/>
  <c r="B449" i="42812"/>
  <c r="K448" i="42812"/>
  <c r="J448" i="42812"/>
  <c r="I448" i="42812"/>
  <c r="H448" i="42812"/>
  <c r="G448" i="42812"/>
  <c r="F448" i="42812"/>
  <c r="E448" i="42812"/>
  <c r="D448" i="42812"/>
  <c r="C448" i="42812"/>
  <c r="B448" i="42812"/>
  <c r="K447" i="42812"/>
  <c r="J447" i="42812"/>
  <c r="I447" i="42812"/>
  <c r="H447" i="42812"/>
  <c r="G447" i="42812"/>
  <c r="F447" i="42812"/>
  <c r="E447" i="42812"/>
  <c r="D447" i="42812"/>
  <c r="C447" i="42812"/>
  <c r="B447" i="42812"/>
  <c r="K446" i="42812"/>
  <c r="J446" i="42812"/>
  <c r="I446" i="42812"/>
  <c r="H446" i="42812"/>
  <c r="G446" i="42812"/>
  <c r="F446" i="42812"/>
  <c r="E446" i="42812"/>
  <c r="D446" i="42812"/>
  <c r="C446" i="42812"/>
  <c r="B446" i="42812"/>
  <c r="K445" i="42812"/>
  <c r="J445" i="42812"/>
  <c r="I445" i="42812"/>
  <c r="H445" i="42812"/>
  <c r="G445" i="42812"/>
  <c r="F445" i="42812"/>
  <c r="E445" i="42812"/>
  <c r="D445" i="42812"/>
  <c r="C445" i="42812"/>
  <c r="B445" i="42812"/>
  <c r="K444" i="42812"/>
  <c r="J444" i="42812"/>
  <c r="I444" i="42812"/>
  <c r="H444" i="42812"/>
  <c r="G444" i="42812"/>
  <c r="F444" i="42812"/>
  <c r="E444" i="42812"/>
  <c r="D444" i="42812"/>
  <c r="C444" i="42812"/>
  <c r="B444" i="42812"/>
  <c r="K443" i="42812"/>
  <c r="J443" i="42812"/>
  <c r="I443" i="42812"/>
  <c r="H443" i="42812"/>
  <c r="G443" i="42812"/>
  <c r="F443" i="42812"/>
  <c r="E443" i="42812"/>
  <c r="D443" i="42812"/>
  <c r="C443" i="42812"/>
  <c r="B443" i="42812"/>
  <c r="K442" i="42812"/>
  <c r="J442" i="42812"/>
  <c r="I442" i="42812"/>
  <c r="H442" i="42812"/>
  <c r="G442" i="42812"/>
  <c r="F442" i="42812"/>
  <c r="E442" i="42812"/>
  <c r="D442" i="42812"/>
  <c r="C442" i="42812"/>
  <c r="B442" i="42812"/>
  <c r="K441" i="42812"/>
  <c r="J441" i="42812"/>
  <c r="I441" i="42812"/>
  <c r="H441" i="42812"/>
  <c r="G441" i="42812"/>
  <c r="F441" i="42812"/>
  <c r="E441" i="42812"/>
  <c r="D441" i="42812"/>
  <c r="C441" i="42812"/>
  <c r="B441" i="42812"/>
  <c r="K440" i="42812"/>
  <c r="J440" i="42812"/>
  <c r="I440" i="42812"/>
  <c r="H440" i="42812"/>
  <c r="G440" i="42812"/>
  <c r="F440" i="42812"/>
  <c r="E440" i="42812"/>
  <c r="D440" i="42812"/>
  <c r="C440" i="42812"/>
  <c r="B440" i="42812"/>
  <c r="K439" i="42812"/>
  <c r="J439" i="42812"/>
  <c r="I439" i="42812"/>
  <c r="H439" i="42812"/>
  <c r="G439" i="42812"/>
  <c r="F439" i="42812"/>
  <c r="E439" i="42812"/>
  <c r="D439" i="42812"/>
  <c r="C439" i="42812"/>
  <c r="B439" i="42812"/>
  <c r="K438" i="42812"/>
  <c r="J438" i="42812"/>
  <c r="I438" i="42812"/>
  <c r="H438" i="42812"/>
  <c r="G438" i="42812"/>
  <c r="F438" i="42812"/>
  <c r="E438" i="42812"/>
  <c r="D438" i="42812"/>
  <c r="C438" i="42812"/>
  <c r="B438" i="42812"/>
  <c r="K437" i="42812"/>
  <c r="J437" i="42812"/>
  <c r="I437" i="42812"/>
  <c r="H437" i="42812"/>
  <c r="G437" i="42812"/>
  <c r="F437" i="42812"/>
  <c r="E437" i="42812"/>
  <c r="D437" i="42812"/>
  <c r="C437" i="42812"/>
  <c r="B437" i="42812"/>
  <c r="K436" i="42812"/>
  <c r="J436" i="42812"/>
  <c r="I436" i="42812"/>
  <c r="H436" i="42812"/>
  <c r="G436" i="42812"/>
  <c r="F436" i="42812"/>
  <c r="E436" i="42812"/>
  <c r="D436" i="42812"/>
  <c r="C436" i="42812"/>
  <c r="B436" i="42812"/>
  <c r="K435" i="42812"/>
  <c r="J435" i="42812"/>
  <c r="I435" i="42812"/>
  <c r="H435" i="42812"/>
  <c r="G435" i="42812"/>
  <c r="F435" i="42812"/>
  <c r="E435" i="42812"/>
  <c r="D435" i="42812"/>
  <c r="C435" i="42812"/>
  <c r="B435" i="42812"/>
  <c r="K434" i="42812"/>
  <c r="J434" i="42812"/>
  <c r="I434" i="42812"/>
  <c r="H434" i="42812"/>
  <c r="G434" i="42812"/>
  <c r="F434" i="42812"/>
  <c r="E434" i="42812"/>
  <c r="D434" i="42812"/>
  <c r="C434" i="42812"/>
  <c r="B434" i="42812"/>
  <c r="K433" i="42812"/>
  <c r="J433" i="42812"/>
  <c r="I433" i="42812"/>
  <c r="H433" i="42812"/>
  <c r="G433" i="42812"/>
  <c r="F433" i="42812"/>
  <c r="E433" i="42812"/>
  <c r="D433" i="42812"/>
  <c r="C433" i="42812"/>
  <c r="B433" i="42812"/>
  <c r="K432" i="42812"/>
  <c r="J432" i="42812"/>
  <c r="I432" i="42812"/>
  <c r="H432" i="42812"/>
  <c r="G432" i="42812"/>
  <c r="F432" i="42812"/>
  <c r="E432" i="42812"/>
  <c r="D432" i="42812"/>
  <c r="C432" i="42812"/>
  <c r="B432" i="42812"/>
  <c r="K431" i="42812"/>
  <c r="J431" i="42812"/>
  <c r="I431" i="42812"/>
  <c r="H431" i="42812"/>
  <c r="G431" i="42812"/>
  <c r="F431" i="42812"/>
  <c r="E431" i="42812"/>
  <c r="D431" i="42812"/>
  <c r="C431" i="42812"/>
  <c r="B431" i="42812"/>
  <c r="K430" i="42812"/>
  <c r="J430" i="42812"/>
  <c r="I430" i="42812"/>
  <c r="H430" i="42812"/>
  <c r="G430" i="42812"/>
  <c r="F430" i="42812"/>
  <c r="E430" i="42812"/>
  <c r="D430" i="42812"/>
  <c r="C430" i="42812"/>
  <c r="B430" i="42812"/>
  <c r="K429" i="42812"/>
  <c r="J429" i="42812"/>
  <c r="I429" i="42812"/>
  <c r="H429" i="42812"/>
  <c r="G429" i="42812"/>
  <c r="F429" i="42812"/>
  <c r="E429" i="42812"/>
  <c r="D429" i="42812"/>
  <c r="C429" i="42812"/>
  <c r="B429" i="42812"/>
  <c r="K428" i="42812"/>
  <c r="J428" i="42812"/>
  <c r="I428" i="42812"/>
  <c r="H428" i="42812"/>
  <c r="G428" i="42812"/>
  <c r="F428" i="42812"/>
  <c r="E428" i="42812"/>
  <c r="D428" i="42812"/>
  <c r="C428" i="42812"/>
  <c r="B428" i="42812"/>
  <c r="K427" i="42812"/>
  <c r="J427" i="42812"/>
  <c r="I427" i="42812"/>
  <c r="H427" i="42812"/>
  <c r="G427" i="42812"/>
  <c r="F427" i="42812"/>
  <c r="E427" i="42812"/>
  <c r="D427" i="42812"/>
  <c r="C427" i="42812"/>
  <c r="B427" i="42812"/>
  <c r="K426" i="42812"/>
  <c r="J426" i="42812"/>
  <c r="I426" i="42812"/>
  <c r="H426" i="42812"/>
  <c r="G426" i="42812"/>
  <c r="F426" i="42812"/>
  <c r="E426" i="42812"/>
  <c r="D426" i="42812"/>
  <c r="C426" i="42812"/>
  <c r="B426" i="42812"/>
  <c r="K425" i="42812"/>
  <c r="J425" i="42812"/>
  <c r="I425" i="42812"/>
  <c r="H425" i="42812"/>
  <c r="G425" i="42812"/>
  <c r="F425" i="42812"/>
  <c r="E425" i="42812"/>
  <c r="D425" i="42812"/>
  <c r="C425" i="42812"/>
  <c r="B425" i="42812"/>
  <c r="K424" i="42812"/>
  <c r="J424" i="42812"/>
  <c r="I424" i="42812"/>
  <c r="H424" i="42812"/>
  <c r="G424" i="42812"/>
  <c r="F424" i="42812"/>
  <c r="E424" i="42812"/>
  <c r="D424" i="42812"/>
  <c r="C424" i="42812"/>
  <c r="B424" i="42812"/>
  <c r="K423" i="42812"/>
  <c r="J423" i="42812"/>
  <c r="I423" i="42812"/>
  <c r="H423" i="42812"/>
  <c r="G423" i="42812"/>
  <c r="F423" i="42812"/>
  <c r="E423" i="42812"/>
  <c r="D423" i="42812"/>
  <c r="C423" i="42812"/>
  <c r="B423" i="42812"/>
  <c r="K422" i="42812"/>
  <c r="J422" i="42812"/>
  <c r="I422" i="42812"/>
  <c r="H422" i="42812"/>
  <c r="G422" i="42812"/>
  <c r="F422" i="42812"/>
  <c r="E422" i="42812"/>
  <c r="D422" i="42812"/>
  <c r="C422" i="42812"/>
  <c r="B422" i="42812"/>
  <c r="K421" i="42812"/>
  <c r="J421" i="42812"/>
  <c r="I421" i="42812"/>
  <c r="H421" i="42812"/>
  <c r="G421" i="42812"/>
  <c r="F421" i="42812"/>
  <c r="E421" i="42812"/>
  <c r="D421" i="42812"/>
  <c r="C421" i="42812"/>
  <c r="B421" i="42812"/>
  <c r="K420" i="42812"/>
  <c r="J420" i="42812"/>
  <c r="I420" i="42812"/>
  <c r="H420" i="42812"/>
  <c r="G420" i="42812"/>
  <c r="F420" i="42812"/>
  <c r="E420" i="42812"/>
  <c r="D420" i="42812"/>
  <c r="C420" i="42812"/>
  <c r="B420" i="42812"/>
  <c r="K419" i="42812"/>
  <c r="J419" i="42812"/>
  <c r="I419" i="42812"/>
  <c r="H419" i="42812"/>
  <c r="G419" i="42812"/>
  <c r="F419" i="42812"/>
  <c r="E419" i="42812"/>
  <c r="D419" i="42812"/>
  <c r="C419" i="42812"/>
  <c r="B419" i="42812"/>
  <c r="K418" i="42812"/>
  <c r="J418" i="42812"/>
  <c r="I418" i="42812"/>
  <c r="H418" i="42812"/>
  <c r="G418" i="42812"/>
  <c r="F418" i="42812"/>
  <c r="E418" i="42812"/>
  <c r="D418" i="42812"/>
  <c r="C418" i="42812"/>
  <c r="B418" i="42812"/>
  <c r="K417" i="42812"/>
  <c r="J417" i="42812"/>
  <c r="I417" i="42812"/>
  <c r="H417" i="42812"/>
  <c r="G417" i="42812"/>
  <c r="F417" i="42812"/>
  <c r="E417" i="42812"/>
  <c r="D417" i="42812"/>
  <c r="C417" i="42812"/>
  <c r="B417" i="42812"/>
  <c r="K416" i="42812"/>
  <c r="J416" i="42812"/>
  <c r="I416" i="42812"/>
  <c r="H416" i="42812"/>
  <c r="G416" i="42812"/>
  <c r="F416" i="42812"/>
  <c r="E416" i="42812"/>
  <c r="D416" i="42812"/>
  <c r="C416" i="42812"/>
  <c r="B416" i="42812"/>
  <c r="K415" i="42812"/>
  <c r="J415" i="42812"/>
  <c r="I415" i="42812"/>
  <c r="H415" i="42812"/>
  <c r="G415" i="42812"/>
  <c r="F415" i="42812"/>
  <c r="E415" i="42812"/>
  <c r="D415" i="42812"/>
  <c r="C415" i="42812"/>
  <c r="B415" i="42812"/>
  <c r="K414" i="42812"/>
  <c r="J414" i="42812"/>
  <c r="I414" i="42812"/>
  <c r="H414" i="42812"/>
  <c r="G414" i="42812"/>
  <c r="F414" i="42812"/>
  <c r="E414" i="42812"/>
  <c r="D414" i="42812"/>
  <c r="C414" i="42812"/>
  <c r="B414" i="42812"/>
  <c r="K413" i="42812"/>
  <c r="J413" i="42812"/>
  <c r="I413" i="42812"/>
  <c r="H413" i="42812"/>
  <c r="G413" i="42812"/>
  <c r="F413" i="42812"/>
  <c r="E413" i="42812"/>
  <c r="D413" i="42812"/>
  <c r="C413" i="42812"/>
  <c r="B413" i="42812"/>
  <c r="K412" i="42812"/>
  <c r="J412" i="42812"/>
  <c r="I412" i="42812"/>
  <c r="H412" i="42812"/>
  <c r="G412" i="42812"/>
  <c r="F412" i="42812"/>
  <c r="E412" i="42812"/>
  <c r="D412" i="42812"/>
  <c r="C412" i="42812"/>
  <c r="B412" i="42812"/>
  <c r="K411" i="42812"/>
  <c r="J411" i="42812"/>
  <c r="I411" i="42812"/>
  <c r="H411" i="42812"/>
  <c r="G411" i="42812"/>
  <c r="F411" i="42812"/>
  <c r="E411" i="42812"/>
  <c r="D411" i="42812"/>
  <c r="C411" i="42812"/>
  <c r="B411" i="42812"/>
  <c r="K410" i="42812"/>
  <c r="J410" i="42812"/>
  <c r="I410" i="42812"/>
  <c r="H410" i="42812"/>
  <c r="G410" i="42812"/>
  <c r="F410" i="42812"/>
  <c r="E410" i="42812"/>
  <c r="D410" i="42812"/>
  <c r="C410" i="42812"/>
  <c r="B410" i="42812"/>
  <c r="K409" i="42812"/>
  <c r="J409" i="42812"/>
  <c r="I409" i="42812"/>
  <c r="H409" i="42812"/>
  <c r="G409" i="42812"/>
  <c r="F409" i="42812"/>
  <c r="E409" i="42812"/>
  <c r="D409" i="42812"/>
  <c r="C409" i="42812"/>
  <c r="B409" i="42812"/>
  <c r="K408" i="42812"/>
  <c r="J408" i="42812"/>
  <c r="I408" i="42812"/>
  <c r="H408" i="42812"/>
  <c r="G408" i="42812"/>
  <c r="F408" i="42812"/>
  <c r="E408" i="42812"/>
  <c r="D408" i="42812"/>
  <c r="C408" i="42812"/>
  <c r="B408" i="42812"/>
  <c r="K407" i="42812"/>
  <c r="J407" i="42812"/>
  <c r="I407" i="42812"/>
  <c r="H407" i="42812"/>
  <c r="G407" i="42812"/>
  <c r="F407" i="42812"/>
  <c r="E407" i="42812"/>
  <c r="D407" i="42812"/>
  <c r="C407" i="42812"/>
  <c r="B407" i="42812"/>
  <c r="K406" i="42812"/>
  <c r="J406" i="42812"/>
  <c r="I406" i="42812"/>
  <c r="H406" i="42812"/>
  <c r="G406" i="42812"/>
  <c r="F406" i="42812"/>
  <c r="E406" i="42812"/>
  <c r="D406" i="42812"/>
  <c r="C406" i="42812"/>
  <c r="B406" i="42812"/>
  <c r="K405" i="42812"/>
  <c r="J405" i="42812"/>
  <c r="I405" i="42812"/>
  <c r="H405" i="42812"/>
  <c r="G405" i="42812"/>
  <c r="F405" i="42812"/>
  <c r="E405" i="42812"/>
  <c r="D405" i="42812"/>
  <c r="C405" i="42812"/>
  <c r="B405" i="42812"/>
  <c r="K404" i="42812"/>
  <c r="J404" i="42812"/>
  <c r="I404" i="42812"/>
  <c r="H404" i="42812"/>
  <c r="G404" i="42812"/>
  <c r="F404" i="42812"/>
  <c r="E404" i="42812"/>
  <c r="D404" i="42812"/>
  <c r="C404" i="42812"/>
  <c r="B404" i="42812"/>
  <c r="K403" i="42812"/>
  <c r="J403" i="42812"/>
  <c r="I403" i="42812"/>
  <c r="H403" i="42812"/>
  <c r="G403" i="42812"/>
  <c r="F403" i="42812"/>
  <c r="E403" i="42812"/>
  <c r="D403" i="42812"/>
  <c r="C403" i="42812"/>
  <c r="B403" i="42812"/>
  <c r="K402" i="42812"/>
  <c r="J402" i="42812"/>
  <c r="I402" i="42812"/>
  <c r="H402" i="42812"/>
  <c r="G402" i="42812"/>
  <c r="F402" i="42812"/>
  <c r="E402" i="42812"/>
  <c r="D402" i="42812"/>
  <c r="C402" i="42812"/>
  <c r="B402" i="42812"/>
  <c r="K401" i="42812"/>
  <c r="J401" i="42812"/>
  <c r="I401" i="42812"/>
  <c r="H401" i="42812"/>
  <c r="G401" i="42812"/>
  <c r="F401" i="42812"/>
  <c r="E401" i="42812"/>
  <c r="D401" i="42812"/>
  <c r="C401" i="42812"/>
  <c r="B401" i="42812"/>
  <c r="K400" i="42812"/>
  <c r="J400" i="42812"/>
  <c r="I400" i="42812"/>
  <c r="H400" i="42812"/>
  <c r="G400" i="42812"/>
  <c r="F400" i="42812"/>
  <c r="E400" i="42812"/>
  <c r="D400" i="42812"/>
  <c r="C400" i="42812"/>
  <c r="B400" i="42812"/>
  <c r="K399" i="42812"/>
  <c r="J399" i="42812"/>
  <c r="I399" i="42812"/>
  <c r="H399" i="42812"/>
  <c r="G399" i="42812"/>
  <c r="F399" i="42812"/>
  <c r="E399" i="42812"/>
  <c r="D399" i="42812"/>
  <c r="C399" i="42812"/>
  <c r="B399" i="42812"/>
  <c r="K398" i="42812"/>
  <c r="J398" i="42812"/>
  <c r="I398" i="42812"/>
  <c r="H398" i="42812"/>
  <c r="G398" i="42812"/>
  <c r="F398" i="42812"/>
  <c r="E398" i="42812"/>
  <c r="D398" i="42812"/>
  <c r="C398" i="42812"/>
  <c r="B398" i="42812"/>
  <c r="K397" i="42812"/>
  <c r="J397" i="42812"/>
  <c r="I397" i="42812"/>
  <c r="H397" i="42812"/>
  <c r="G397" i="42812"/>
  <c r="F397" i="42812"/>
  <c r="E397" i="42812"/>
  <c r="D397" i="42812"/>
  <c r="C397" i="42812"/>
  <c r="B397" i="42812"/>
  <c r="K396" i="42812"/>
  <c r="J396" i="42812"/>
  <c r="I396" i="42812"/>
  <c r="H396" i="42812"/>
  <c r="G396" i="42812"/>
  <c r="F396" i="42812"/>
  <c r="E396" i="42812"/>
  <c r="D396" i="42812"/>
  <c r="C396" i="42812"/>
  <c r="B396" i="42812"/>
  <c r="K395" i="42812"/>
  <c r="J395" i="42812"/>
  <c r="I395" i="42812"/>
  <c r="H395" i="42812"/>
  <c r="G395" i="42812"/>
  <c r="F395" i="42812"/>
  <c r="E395" i="42812"/>
  <c r="D395" i="42812"/>
  <c r="C395" i="42812"/>
  <c r="B395" i="42812"/>
  <c r="K394" i="42812"/>
  <c r="J394" i="42812"/>
  <c r="I394" i="42812"/>
  <c r="H394" i="42812"/>
  <c r="G394" i="42812"/>
  <c r="F394" i="42812"/>
  <c r="E394" i="42812"/>
  <c r="D394" i="42812"/>
  <c r="C394" i="42812"/>
  <c r="B394" i="42812"/>
  <c r="K393" i="42812"/>
  <c r="J393" i="42812"/>
  <c r="I393" i="42812"/>
  <c r="H393" i="42812"/>
  <c r="G393" i="42812"/>
  <c r="F393" i="42812"/>
  <c r="E393" i="42812"/>
  <c r="D393" i="42812"/>
  <c r="C393" i="42812"/>
  <c r="B393" i="42812"/>
  <c r="K392" i="42812"/>
  <c r="J392" i="42812"/>
  <c r="I392" i="42812"/>
  <c r="H392" i="42812"/>
  <c r="G392" i="42812"/>
  <c r="F392" i="42812"/>
  <c r="E392" i="42812"/>
  <c r="D392" i="42812"/>
  <c r="C392" i="42812"/>
  <c r="B392" i="42812"/>
  <c r="K391" i="42812"/>
  <c r="J391" i="42812"/>
  <c r="I391" i="42812"/>
  <c r="H391" i="42812"/>
  <c r="G391" i="42812"/>
  <c r="F391" i="42812"/>
  <c r="E391" i="42812"/>
  <c r="D391" i="42812"/>
  <c r="C391" i="42812"/>
  <c r="B391" i="42812"/>
  <c r="K390" i="42812"/>
  <c r="J390" i="42812"/>
  <c r="I390" i="42812"/>
  <c r="H390" i="42812"/>
  <c r="G390" i="42812"/>
  <c r="F390" i="42812"/>
  <c r="E390" i="42812"/>
  <c r="D390" i="42812"/>
  <c r="C390" i="42812"/>
  <c r="B390" i="42812"/>
  <c r="K389" i="42812"/>
  <c r="J389" i="42812"/>
  <c r="I389" i="42812"/>
  <c r="H389" i="42812"/>
  <c r="G389" i="42812"/>
  <c r="F389" i="42812"/>
  <c r="E389" i="42812"/>
  <c r="D389" i="42812"/>
  <c r="C389" i="42812"/>
  <c r="B389" i="42812"/>
  <c r="K388" i="42812"/>
  <c r="J388" i="42812"/>
  <c r="I388" i="42812"/>
  <c r="H388" i="42812"/>
  <c r="G388" i="42812"/>
  <c r="F388" i="42812"/>
  <c r="E388" i="42812"/>
  <c r="D388" i="42812"/>
  <c r="C388" i="42812"/>
  <c r="B388" i="42812"/>
  <c r="K387" i="42812"/>
  <c r="J387" i="42812"/>
  <c r="I387" i="42812"/>
  <c r="H387" i="42812"/>
  <c r="G387" i="42812"/>
  <c r="F387" i="42812"/>
  <c r="E387" i="42812"/>
  <c r="D387" i="42812"/>
  <c r="C387" i="42812"/>
  <c r="B387" i="42812"/>
  <c r="K386" i="42812"/>
  <c r="J386" i="42812"/>
  <c r="I386" i="42812"/>
  <c r="H386" i="42812"/>
  <c r="G386" i="42812"/>
  <c r="F386" i="42812"/>
  <c r="E386" i="42812"/>
  <c r="D386" i="42812"/>
  <c r="C386" i="42812"/>
  <c r="B386" i="42812"/>
  <c r="K385" i="42812"/>
  <c r="J385" i="42812"/>
  <c r="I385" i="42812"/>
  <c r="H385" i="42812"/>
  <c r="G385" i="42812"/>
  <c r="F385" i="42812"/>
  <c r="E385" i="42812"/>
  <c r="D385" i="42812"/>
  <c r="C385" i="42812"/>
  <c r="B385" i="42812"/>
  <c r="K384" i="42812"/>
  <c r="J384" i="42812"/>
  <c r="I384" i="42812"/>
  <c r="H384" i="42812"/>
  <c r="G384" i="42812"/>
  <c r="F384" i="42812"/>
  <c r="E384" i="42812"/>
  <c r="D384" i="42812"/>
  <c r="C384" i="42812"/>
  <c r="B384" i="42812"/>
  <c r="K383" i="42812"/>
  <c r="J383" i="42812"/>
  <c r="I383" i="42812"/>
  <c r="H383" i="42812"/>
  <c r="G383" i="42812"/>
  <c r="F383" i="42812"/>
  <c r="E383" i="42812"/>
  <c r="D383" i="42812"/>
  <c r="C383" i="42812"/>
  <c r="B383" i="42812"/>
  <c r="K382" i="42812"/>
  <c r="J382" i="42812"/>
  <c r="I382" i="42812"/>
  <c r="H382" i="42812"/>
  <c r="G382" i="42812"/>
  <c r="F382" i="42812"/>
  <c r="E382" i="42812"/>
  <c r="D382" i="42812"/>
  <c r="C382" i="42812"/>
  <c r="B382" i="42812"/>
  <c r="K381" i="42812"/>
  <c r="J381" i="42812"/>
  <c r="I381" i="42812"/>
  <c r="H381" i="42812"/>
  <c r="G381" i="42812"/>
  <c r="F381" i="42812"/>
  <c r="E381" i="42812"/>
  <c r="D381" i="42812"/>
  <c r="C381" i="42812"/>
  <c r="B381" i="42812"/>
  <c r="K380" i="42812"/>
  <c r="J380" i="42812"/>
  <c r="I380" i="42812"/>
  <c r="H380" i="42812"/>
  <c r="G380" i="42812"/>
  <c r="F380" i="42812"/>
  <c r="E380" i="42812"/>
  <c r="D380" i="42812"/>
  <c r="C380" i="42812"/>
  <c r="B380" i="42812"/>
  <c r="K379" i="42812"/>
  <c r="J379" i="42812"/>
  <c r="I379" i="42812"/>
  <c r="H379" i="42812"/>
  <c r="G379" i="42812"/>
  <c r="F379" i="42812"/>
  <c r="E379" i="42812"/>
  <c r="D379" i="42812"/>
  <c r="C379" i="42812"/>
  <c r="B379" i="42812"/>
  <c r="K378" i="42812"/>
  <c r="J378" i="42812"/>
  <c r="I378" i="42812"/>
  <c r="H378" i="42812"/>
  <c r="G378" i="42812"/>
  <c r="F378" i="42812"/>
  <c r="E378" i="42812"/>
  <c r="D378" i="42812"/>
  <c r="C378" i="42812"/>
  <c r="B378" i="42812"/>
  <c r="K377" i="42812"/>
  <c r="J377" i="42812"/>
  <c r="I377" i="42812"/>
  <c r="H377" i="42812"/>
  <c r="G377" i="42812"/>
  <c r="F377" i="42812"/>
  <c r="E377" i="42812"/>
  <c r="D377" i="42812"/>
  <c r="C377" i="42812"/>
  <c r="B377" i="42812"/>
  <c r="K376" i="42812"/>
  <c r="J376" i="42812"/>
  <c r="I376" i="42812"/>
  <c r="H376" i="42812"/>
  <c r="G376" i="42812"/>
  <c r="F376" i="42812"/>
  <c r="E376" i="42812"/>
  <c r="D376" i="42812"/>
  <c r="C376" i="42812"/>
  <c r="B376" i="42812"/>
  <c r="K375" i="42812"/>
  <c r="J375" i="42812"/>
  <c r="I375" i="42812"/>
  <c r="H375" i="42812"/>
  <c r="G375" i="42812"/>
  <c r="F375" i="42812"/>
  <c r="E375" i="42812"/>
  <c r="D375" i="42812"/>
  <c r="C375" i="42812"/>
  <c r="B375" i="42812"/>
  <c r="K374" i="42812"/>
  <c r="J374" i="42812"/>
  <c r="I374" i="42812"/>
  <c r="H374" i="42812"/>
  <c r="G374" i="42812"/>
  <c r="F374" i="42812"/>
  <c r="E374" i="42812"/>
  <c r="D374" i="42812"/>
  <c r="C374" i="42812"/>
  <c r="B374" i="42812"/>
  <c r="K373" i="42812"/>
  <c r="J373" i="42812"/>
  <c r="I373" i="42812"/>
  <c r="H373" i="42812"/>
  <c r="G373" i="42812"/>
  <c r="F373" i="42812"/>
  <c r="E373" i="42812"/>
  <c r="D373" i="42812"/>
  <c r="C373" i="42812"/>
  <c r="B373" i="42812"/>
  <c r="K372" i="42812"/>
  <c r="J372" i="42812"/>
  <c r="I372" i="42812"/>
  <c r="H372" i="42812"/>
  <c r="G372" i="42812"/>
  <c r="F372" i="42812"/>
  <c r="E372" i="42812"/>
  <c r="D372" i="42812"/>
  <c r="C372" i="42812"/>
  <c r="B372" i="42812"/>
  <c r="K371" i="42812"/>
  <c r="J371" i="42812"/>
  <c r="I371" i="42812"/>
  <c r="H371" i="42812"/>
  <c r="G371" i="42812"/>
  <c r="F371" i="42812"/>
  <c r="E371" i="42812"/>
  <c r="D371" i="42812"/>
  <c r="C371" i="42812"/>
  <c r="B371" i="42812"/>
  <c r="K370" i="42812"/>
  <c r="J370" i="42812"/>
  <c r="I370" i="42812"/>
  <c r="H370" i="42812"/>
  <c r="G370" i="42812"/>
  <c r="F370" i="42812"/>
  <c r="E370" i="42812"/>
  <c r="D370" i="42812"/>
  <c r="C370" i="42812"/>
  <c r="B370" i="42812"/>
  <c r="K369" i="42812"/>
  <c r="J369" i="42812"/>
  <c r="I369" i="42812"/>
  <c r="H369" i="42812"/>
  <c r="G369" i="42812"/>
  <c r="F369" i="42812"/>
  <c r="E369" i="42812"/>
  <c r="D369" i="42812"/>
  <c r="C369" i="42812"/>
  <c r="B369" i="42812"/>
  <c r="K368" i="42812"/>
  <c r="J368" i="42812"/>
  <c r="I368" i="42812"/>
  <c r="H368" i="42812"/>
  <c r="G368" i="42812"/>
  <c r="F368" i="42812"/>
  <c r="E368" i="42812"/>
  <c r="D368" i="42812"/>
  <c r="C368" i="42812"/>
  <c r="B368" i="42812"/>
  <c r="K367" i="42812"/>
  <c r="J367" i="42812"/>
  <c r="I367" i="42812"/>
  <c r="H367" i="42812"/>
  <c r="G367" i="42812"/>
  <c r="F367" i="42812"/>
  <c r="E367" i="42812"/>
  <c r="D367" i="42812"/>
  <c r="C367" i="42812"/>
  <c r="B367" i="42812"/>
  <c r="K366" i="42812"/>
  <c r="J366" i="42812"/>
  <c r="I366" i="42812"/>
  <c r="H366" i="42812"/>
  <c r="G366" i="42812"/>
  <c r="F366" i="42812"/>
  <c r="E366" i="42812"/>
  <c r="D366" i="42812"/>
  <c r="C366" i="42812"/>
  <c r="B366" i="42812"/>
  <c r="K365" i="42812"/>
  <c r="J365" i="42812"/>
  <c r="I365" i="42812"/>
  <c r="H365" i="42812"/>
  <c r="G365" i="42812"/>
  <c r="F365" i="42812"/>
  <c r="E365" i="42812"/>
  <c r="D365" i="42812"/>
  <c r="C365" i="42812"/>
  <c r="B365" i="42812"/>
  <c r="K364" i="42812"/>
  <c r="J364" i="42812"/>
  <c r="I364" i="42812"/>
  <c r="H364" i="42812"/>
  <c r="G364" i="42812"/>
  <c r="F364" i="42812"/>
  <c r="E364" i="42812"/>
  <c r="D364" i="42812"/>
  <c r="C364" i="42812"/>
  <c r="B364" i="42812"/>
  <c r="K363" i="42812"/>
  <c r="J363" i="42812"/>
  <c r="I363" i="42812"/>
  <c r="H363" i="42812"/>
  <c r="G363" i="42812"/>
  <c r="F363" i="42812"/>
  <c r="E363" i="42812"/>
  <c r="D363" i="42812"/>
  <c r="C363" i="42812"/>
  <c r="B363" i="42812"/>
  <c r="K362" i="42812"/>
  <c r="J362" i="42812"/>
  <c r="I362" i="42812"/>
  <c r="H362" i="42812"/>
  <c r="G362" i="42812"/>
  <c r="F362" i="42812"/>
  <c r="E362" i="42812"/>
  <c r="D362" i="42812"/>
  <c r="C362" i="42812"/>
  <c r="B362" i="42812"/>
  <c r="K361" i="42812"/>
  <c r="J361" i="42812"/>
  <c r="I361" i="42812"/>
  <c r="H361" i="42812"/>
  <c r="G361" i="42812"/>
  <c r="F361" i="42812"/>
  <c r="E361" i="42812"/>
  <c r="D361" i="42812"/>
  <c r="C361" i="42812"/>
  <c r="B361" i="42812"/>
  <c r="K360" i="42812"/>
  <c r="J360" i="42812"/>
  <c r="I360" i="42812"/>
  <c r="H360" i="42812"/>
  <c r="G360" i="42812"/>
  <c r="F360" i="42812"/>
  <c r="E360" i="42812"/>
  <c r="D360" i="42812"/>
  <c r="C360" i="42812"/>
  <c r="B360" i="42812"/>
  <c r="K359" i="42812"/>
  <c r="J359" i="42812"/>
  <c r="I359" i="42812"/>
  <c r="H359" i="42812"/>
  <c r="G359" i="42812"/>
  <c r="F359" i="42812"/>
  <c r="E359" i="42812"/>
  <c r="D359" i="42812"/>
  <c r="C359" i="42812"/>
  <c r="B359" i="42812"/>
  <c r="K358" i="42812"/>
  <c r="J358" i="42812"/>
  <c r="I358" i="42812"/>
  <c r="H358" i="42812"/>
  <c r="G358" i="42812"/>
  <c r="F358" i="42812"/>
  <c r="E358" i="42812"/>
  <c r="D358" i="42812"/>
  <c r="C358" i="42812"/>
  <c r="B358" i="42812"/>
  <c r="K357" i="42812"/>
  <c r="J357" i="42812"/>
  <c r="I357" i="42812"/>
  <c r="H357" i="42812"/>
  <c r="G357" i="42812"/>
  <c r="F357" i="42812"/>
  <c r="E357" i="42812"/>
  <c r="D357" i="42812"/>
  <c r="C357" i="42812"/>
  <c r="B357" i="42812"/>
  <c r="K356" i="42812"/>
  <c r="J356" i="42812"/>
  <c r="I356" i="42812"/>
  <c r="H356" i="42812"/>
  <c r="G356" i="42812"/>
  <c r="F356" i="42812"/>
  <c r="E356" i="42812"/>
  <c r="D356" i="42812"/>
  <c r="C356" i="42812"/>
  <c r="B356" i="42812"/>
  <c r="K355" i="42812"/>
  <c r="J355" i="42812"/>
  <c r="I355" i="42812"/>
  <c r="H355" i="42812"/>
  <c r="G355" i="42812"/>
  <c r="F355" i="42812"/>
  <c r="E355" i="42812"/>
  <c r="D355" i="42812"/>
  <c r="C355" i="42812"/>
  <c r="B355" i="42812"/>
  <c r="K354" i="42812"/>
  <c r="J354" i="42812"/>
  <c r="I354" i="42812"/>
  <c r="H354" i="42812"/>
  <c r="G354" i="42812"/>
  <c r="F354" i="42812"/>
  <c r="E354" i="42812"/>
  <c r="D354" i="42812"/>
  <c r="C354" i="42812"/>
  <c r="B354" i="42812"/>
  <c r="K353" i="42812"/>
  <c r="J353" i="42812"/>
  <c r="I353" i="42812"/>
  <c r="H353" i="42812"/>
  <c r="G353" i="42812"/>
  <c r="F353" i="42812"/>
  <c r="E353" i="42812"/>
  <c r="D353" i="42812"/>
  <c r="C353" i="42812"/>
  <c r="B353" i="42812"/>
  <c r="K352" i="42812"/>
  <c r="J352" i="42812"/>
  <c r="I352" i="42812"/>
  <c r="H352" i="42812"/>
  <c r="G352" i="42812"/>
  <c r="F352" i="42812"/>
  <c r="E352" i="42812"/>
  <c r="D352" i="42812"/>
  <c r="C352" i="42812"/>
  <c r="B352" i="42812"/>
  <c r="K351" i="42812"/>
  <c r="J351" i="42812"/>
  <c r="I351" i="42812"/>
  <c r="H351" i="42812"/>
  <c r="G351" i="42812"/>
  <c r="F351" i="42812"/>
  <c r="E351" i="42812"/>
  <c r="D351" i="42812"/>
  <c r="C351" i="42812"/>
  <c r="B351" i="42812"/>
  <c r="K350" i="42812"/>
  <c r="J350" i="42812"/>
  <c r="I350" i="42812"/>
  <c r="H350" i="42812"/>
  <c r="G350" i="42812"/>
  <c r="F350" i="42812"/>
  <c r="E350" i="42812"/>
  <c r="D350" i="42812"/>
  <c r="C350" i="42812"/>
  <c r="B350" i="42812"/>
  <c r="K349" i="42812"/>
  <c r="J349" i="42812"/>
  <c r="I349" i="42812"/>
  <c r="H349" i="42812"/>
  <c r="G349" i="42812"/>
  <c r="F349" i="42812"/>
  <c r="E349" i="42812"/>
  <c r="D349" i="42812"/>
  <c r="C349" i="42812"/>
  <c r="B349" i="42812"/>
  <c r="K348" i="42812"/>
  <c r="J348" i="42812"/>
  <c r="I348" i="42812"/>
  <c r="H348" i="42812"/>
  <c r="G348" i="42812"/>
  <c r="F348" i="42812"/>
  <c r="E348" i="42812"/>
  <c r="D348" i="42812"/>
  <c r="C348" i="42812"/>
  <c r="B348" i="42812"/>
  <c r="K347" i="42812"/>
  <c r="J347" i="42812"/>
  <c r="I347" i="42812"/>
  <c r="H347" i="42812"/>
  <c r="G347" i="42812"/>
  <c r="F347" i="42812"/>
  <c r="E347" i="42812"/>
  <c r="D347" i="42812"/>
  <c r="C347" i="42812"/>
  <c r="B347" i="42812"/>
  <c r="K346" i="42812"/>
  <c r="J346" i="42812"/>
  <c r="I346" i="42812"/>
  <c r="H346" i="42812"/>
  <c r="G346" i="42812"/>
  <c r="F346" i="42812"/>
  <c r="E346" i="42812"/>
  <c r="D346" i="42812"/>
  <c r="C346" i="42812"/>
  <c r="B346" i="42812"/>
  <c r="K345" i="42812"/>
  <c r="J345" i="42812"/>
  <c r="I345" i="42812"/>
  <c r="H345" i="42812"/>
  <c r="G345" i="42812"/>
  <c r="F345" i="42812"/>
  <c r="E345" i="42812"/>
  <c r="D345" i="42812"/>
  <c r="C345" i="42812"/>
  <c r="B345" i="42812"/>
  <c r="K344" i="42812"/>
  <c r="J344" i="42812"/>
  <c r="I344" i="42812"/>
  <c r="H344" i="42812"/>
  <c r="G344" i="42812"/>
  <c r="F344" i="42812"/>
  <c r="E344" i="42812"/>
  <c r="D344" i="42812"/>
  <c r="C344" i="42812"/>
  <c r="B344" i="42812"/>
  <c r="K343" i="42812"/>
  <c r="J343" i="42812"/>
  <c r="I343" i="42812"/>
  <c r="H343" i="42812"/>
  <c r="G343" i="42812"/>
  <c r="F343" i="42812"/>
  <c r="E343" i="42812"/>
  <c r="D343" i="42812"/>
  <c r="C343" i="42812"/>
  <c r="B343" i="42812"/>
  <c r="K342" i="42812"/>
  <c r="J342" i="42812"/>
  <c r="I342" i="42812"/>
  <c r="H342" i="42812"/>
  <c r="G342" i="42812"/>
  <c r="F342" i="42812"/>
  <c r="E342" i="42812"/>
  <c r="D342" i="42812"/>
  <c r="C342" i="42812"/>
  <c r="B342" i="42812"/>
  <c r="K341" i="42812"/>
  <c r="J341" i="42812"/>
  <c r="I341" i="42812"/>
  <c r="H341" i="42812"/>
  <c r="G341" i="42812"/>
  <c r="F341" i="42812"/>
  <c r="E341" i="42812"/>
  <c r="D341" i="42812"/>
  <c r="C341" i="42812"/>
  <c r="B341" i="42812"/>
  <c r="K340" i="42812"/>
  <c r="J340" i="42812"/>
  <c r="I340" i="42812"/>
  <c r="H340" i="42812"/>
  <c r="G340" i="42812"/>
  <c r="F340" i="42812"/>
  <c r="E340" i="42812"/>
  <c r="D340" i="42812"/>
  <c r="C340" i="42812"/>
  <c r="B340" i="42812"/>
  <c r="K339" i="42812"/>
  <c r="J339" i="42812"/>
  <c r="I339" i="42812"/>
  <c r="H339" i="42812"/>
  <c r="G339" i="42812"/>
  <c r="F339" i="42812"/>
  <c r="E339" i="42812"/>
  <c r="D339" i="42812"/>
  <c r="C339" i="42812"/>
  <c r="B339" i="42812"/>
  <c r="K338" i="42812"/>
  <c r="J338" i="42812"/>
  <c r="I338" i="42812"/>
  <c r="H338" i="42812"/>
  <c r="G338" i="42812"/>
  <c r="F338" i="42812"/>
  <c r="E338" i="42812"/>
  <c r="D338" i="42812"/>
  <c r="C338" i="42812"/>
  <c r="B338" i="42812"/>
  <c r="K337" i="42812"/>
  <c r="J337" i="42812"/>
  <c r="I337" i="42812"/>
  <c r="H337" i="42812"/>
  <c r="G337" i="42812"/>
  <c r="F337" i="42812"/>
  <c r="E337" i="42812"/>
  <c r="D337" i="42812"/>
  <c r="C337" i="42812"/>
  <c r="B337" i="42812"/>
  <c r="K336" i="42812"/>
  <c r="J336" i="42812"/>
  <c r="I336" i="42812"/>
  <c r="H336" i="42812"/>
  <c r="G336" i="42812"/>
  <c r="F336" i="42812"/>
  <c r="E336" i="42812"/>
  <c r="D336" i="42812"/>
  <c r="C336" i="42812"/>
  <c r="B336" i="42812"/>
  <c r="K335" i="42812"/>
  <c r="J335" i="42812"/>
  <c r="I335" i="42812"/>
  <c r="H335" i="42812"/>
  <c r="G335" i="42812"/>
  <c r="F335" i="42812"/>
  <c r="E335" i="42812"/>
  <c r="D335" i="42812"/>
  <c r="C335" i="42812"/>
  <c r="B335" i="42812"/>
  <c r="K334" i="42812"/>
  <c r="J334" i="42812"/>
  <c r="I334" i="42812"/>
  <c r="H334" i="42812"/>
  <c r="G334" i="42812"/>
  <c r="F334" i="42812"/>
  <c r="E334" i="42812"/>
  <c r="D334" i="42812"/>
  <c r="C334" i="42812"/>
  <c r="B334" i="42812"/>
  <c r="K333" i="42812"/>
  <c r="J333" i="42812"/>
  <c r="I333" i="42812"/>
  <c r="H333" i="42812"/>
  <c r="G333" i="42812"/>
  <c r="F333" i="42812"/>
  <c r="E333" i="42812"/>
  <c r="D333" i="42812"/>
  <c r="C333" i="42812"/>
  <c r="B333" i="42812"/>
  <c r="K332" i="42812"/>
  <c r="J332" i="42812"/>
  <c r="I332" i="42812"/>
  <c r="H332" i="42812"/>
  <c r="G332" i="42812"/>
  <c r="F332" i="42812"/>
  <c r="E332" i="42812"/>
  <c r="D332" i="42812"/>
  <c r="C332" i="42812"/>
  <c r="B332" i="42812"/>
  <c r="K331" i="42812"/>
  <c r="J331" i="42812"/>
  <c r="I331" i="42812"/>
  <c r="H331" i="42812"/>
  <c r="G331" i="42812"/>
  <c r="F331" i="42812"/>
  <c r="E331" i="42812"/>
  <c r="D331" i="42812"/>
  <c r="C331" i="42812"/>
  <c r="B331" i="42812"/>
  <c r="K330" i="42812"/>
  <c r="J330" i="42812"/>
  <c r="I330" i="42812"/>
  <c r="H330" i="42812"/>
  <c r="G330" i="42812"/>
  <c r="F330" i="42812"/>
  <c r="E330" i="42812"/>
  <c r="D330" i="42812"/>
  <c r="C330" i="42812"/>
  <c r="B330" i="42812"/>
  <c r="K329" i="42812"/>
  <c r="J329" i="42812"/>
  <c r="I329" i="42812"/>
  <c r="H329" i="42812"/>
  <c r="G329" i="42812"/>
  <c r="F329" i="42812"/>
  <c r="E329" i="42812"/>
  <c r="D329" i="42812"/>
  <c r="C329" i="42812"/>
  <c r="B329" i="42812"/>
  <c r="K328" i="42812"/>
  <c r="J328" i="42812"/>
  <c r="I328" i="42812"/>
  <c r="H328" i="42812"/>
  <c r="G328" i="42812"/>
  <c r="F328" i="42812"/>
  <c r="E328" i="42812"/>
  <c r="D328" i="42812"/>
  <c r="C328" i="42812"/>
  <c r="B328" i="42812"/>
  <c r="K327" i="42812"/>
  <c r="J327" i="42812"/>
  <c r="I327" i="42812"/>
  <c r="H327" i="42812"/>
  <c r="G327" i="42812"/>
  <c r="F327" i="42812"/>
  <c r="E327" i="42812"/>
  <c r="D327" i="42812"/>
  <c r="C327" i="42812"/>
  <c r="B327" i="42812"/>
  <c r="K326" i="42812"/>
  <c r="J326" i="42812"/>
  <c r="I326" i="42812"/>
  <c r="H326" i="42812"/>
  <c r="G326" i="42812"/>
  <c r="F326" i="42812"/>
  <c r="E326" i="42812"/>
  <c r="D326" i="42812"/>
  <c r="C326" i="42812"/>
  <c r="B326" i="42812"/>
  <c r="K325" i="42812"/>
  <c r="J325" i="42812"/>
  <c r="I325" i="42812"/>
  <c r="H325" i="42812"/>
  <c r="G325" i="42812"/>
  <c r="F325" i="42812"/>
  <c r="E325" i="42812"/>
  <c r="D325" i="42812"/>
  <c r="C325" i="42812"/>
  <c r="B325" i="42812"/>
  <c r="K324" i="42812"/>
  <c r="J324" i="42812"/>
  <c r="I324" i="42812"/>
  <c r="H324" i="42812"/>
  <c r="G324" i="42812"/>
  <c r="F324" i="42812"/>
  <c r="E324" i="42812"/>
  <c r="D324" i="42812"/>
  <c r="C324" i="42812"/>
  <c r="B324" i="42812"/>
  <c r="K323" i="42812"/>
  <c r="J323" i="42812"/>
  <c r="I323" i="42812"/>
  <c r="H323" i="42812"/>
  <c r="G323" i="42812"/>
  <c r="F323" i="42812"/>
  <c r="E323" i="42812"/>
  <c r="D323" i="42812"/>
  <c r="C323" i="42812"/>
  <c r="B323" i="42812"/>
  <c r="K322" i="42812"/>
  <c r="J322" i="42812"/>
  <c r="I322" i="42812"/>
  <c r="H322" i="42812"/>
  <c r="G322" i="42812"/>
  <c r="F322" i="42812"/>
  <c r="E322" i="42812"/>
  <c r="D322" i="42812"/>
  <c r="C322" i="42812"/>
  <c r="B322" i="42812"/>
  <c r="K321" i="42812"/>
  <c r="J321" i="42812"/>
  <c r="I321" i="42812"/>
  <c r="H321" i="42812"/>
  <c r="G321" i="42812"/>
  <c r="F321" i="42812"/>
  <c r="E321" i="42812"/>
  <c r="D321" i="42812"/>
  <c r="C321" i="42812"/>
  <c r="B321" i="42812"/>
  <c r="K320" i="42812"/>
  <c r="J320" i="42812"/>
  <c r="I320" i="42812"/>
  <c r="H320" i="42812"/>
  <c r="G320" i="42812"/>
  <c r="F320" i="42812"/>
  <c r="E320" i="42812"/>
  <c r="D320" i="42812"/>
  <c r="C320" i="42812"/>
  <c r="B320" i="42812"/>
  <c r="K319" i="42812"/>
  <c r="J319" i="42812"/>
  <c r="I319" i="42812"/>
  <c r="H319" i="42812"/>
  <c r="G319" i="42812"/>
  <c r="F319" i="42812"/>
  <c r="E319" i="42812"/>
  <c r="D319" i="42812"/>
  <c r="C319" i="42812"/>
  <c r="B319" i="42812"/>
  <c r="K318" i="42812"/>
  <c r="J318" i="42812"/>
  <c r="I318" i="42812"/>
  <c r="H318" i="42812"/>
  <c r="G318" i="42812"/>
  <c r="F318" i="42812"/>
  <c r="E318" i="42812"/>
  <c r="D318" i="42812"/>
  <c r="C318" i="42812"/>
  <c r="B318" i="42812"/>
  <c r="K317" i="42812"/>
  <c r="J317" i="42812"/>
  <c r="I317" i="42812"/>
  <c r="H317" i="42812"/>
  <c r="G317" i="42812"/>
  <c r="F317" i="42812"/>
  <c r="E317" i="42812"/>
  <c r="D317" i="42812"/>
  <c r="C317" i="42812"/>
  <c r="B317" i="42812"/>
  <c r="K316" i="42812"/>
  <c r="J316" i="42812"/>
  <c r="I316" i="42812"/>
  <c r="H316" i="42812"/>
  <c r="G316" i="42812"/>
  <c r="F316" i="42812"/>
  <c r="E316" i="42812"/>
  <c r="D316" i="42812"/>
  <c r="C316" i="42812"/>
  <c r="B316" i="42812"/>
  <c r="K315" i="42812"/>
  <c r="J315" i="42812"/>
  <c r="I315" i="42812"/>
  <c r="H315" i="42812"/>
  <c r="G315" i="42812"/>
  <c r="F315" i="42812"/>
  <c r="E315" i="42812"/>
  <c r="D315" i="42812"/>
  <c r="C315" i="42812"/>
  <c r="B315" i="42812"/>
  <c r="K314" i="42812"/>
  <c r="J314" i="42812"/>
  <c r="I314" i="42812"/>
  <c r="H314" i="42812"/>
  <c r="G314" i="42812"/>
  <c r="F314" i="42812"/>
  <c r="E314" i="42812"/>
  <c r="D314" i="42812"/>
  <c r="C314" i="42812"/>
  <c r="B314" i="42812"/>
  <c r="K313" i="42812"/>
  <c r="J313" i="42812"/>
  <c r="I313" i="42812"/>
  <c r="H313" i="42812"/>
  <c r="G313" i="42812"/>
  <c r="F313" i="42812"/>
  <c r="E313" i="42812"/>
  <c r="D313" i="42812"/>
  <c r="C313" i="42812"/>
  <c r="B313" i="42812"/>
  <c r="K312" i="42812"/>
  <c r="J312" i="42812"/>
  <c r="I312" i="42812"/>
  <c r="H312" i="42812"/>
  <c r="G312" i="42812"/>
  <c r="F312" i="42812"/>
  <c r="E312" i="42812"/>
  <c r="D312" i="42812"/>
  <c r="C312" i="42812"/>
  <c r="B312" i="42812"/>
  <c r="K311" i="42812"/>
  <c r="J311" i="42812"/>
  <c r="I311" i="42812"/>
  <c r="H311" i="42812"/>
  <c r="G311" i="42812"/>
  <c r="F311" i="42812"/>
  <c r="E311" i="42812"/>
  <c r="D311" i="42812"/>
  <c r="C311" i="42812"/>
  <c r="B311" i="42812"/>
  <c r="K310" i="42812"/>
  <c r="J310" i="42812"/>
  <c r="I310" i="42812"/>
  <c r="H310" i="42812"/>
  <c r="G310" i="42812"/>
  <c r="F310" i="42812"/>
  <c r="E310" i="42812"/>
  <c r="D310" i="42812"/>
  <c r="C310" i="42812"/>
  <c r="B310" i="42812"/>
  <c r="K309" i="42812"/>
  <c r="J309" i="42812"/>
  <c r="I309" i="42812"/>
  <c r="H309" i="42812"/>
  <c r="G309" i="42812"/>
  <c r="F309" i="42812"/>
  <c r="E309" i="42812"/>
  <c r="D309" i="42812"/>
  <c r="C309" i="42812"/>
  <c r="B309" i="42812"/>
  <c r="K308" i="42812"/>
  <c r="J308" i="42812"/>
  <c r="I308" i="42812"/>
  <c r="H308" i="42812"/>
  <c r="G308" i="42812"/>
  <c r="F308" i="42812"/>
  <c r="E308" i="42812"/>
  <c r="D308" i="42812"/>
  <c r="C308" i="42812"/>
  <c r="B308" i="42812"/>
  <c r="K307" i="42812"/>
  <c r="J307" i="42812"/>
  <c r="I307" i="42812"/>
  <c r="H307" i="42812"/>
  <c r="G307" i="42812"/>
  <c r="F307" i="42812"/>
  <c r="E307" i="42812"/>
  <c r="D307" i="42812"/>
  <c r="C307" i="42812"/>
  <c r="B307" i="42812"/>
  <c r="K306" i="42812"/>
  <c r="J306" i="42812"/>
  <c r="I306" i="42812"/>
  <c r="H306" i="42812"/>
  <c r="G306" i="42812"/>
  <c r="F306" i="42812"/>
  <c r="E306" i="42812"/>
  <c r="D306" i="42812"/>
  <c r="C306" i="42812"/>
  <c r="B306" i="42812"/>
  <c r="K305" i="42812"/>
  <c r="J305" i="42812"/>
  <c r="I305" i="42812"/>
  <c r="H305" i="42812"/>
  <c r="G305" i="42812"/>
  <c r="F305" i="42812"/>
  <c r="E305" i="42812"/>
  <c r="D305" i="42812"/>
  <c r="C305" i="42812"/>
  <c r="B305" i="42812"/>
  <c r="K304" i="42812"/>
  <c r="J304" i="42812"/>
  <c r="I304" i="42812"/>
  <c r="H304" i="42812"/>
  <c r="G304" i="42812"/>
  <c r="F304" i="42812"/>
  <c r="E304" i="42812"/>
  <c r="D304" i="42812"/>
  <c r="C304" i="42812"/>
  <c r="B304" i="42812"/>
  <c r="K303" i="42812"/>
  <c r="J303" i="42812"/>
  <c r="I303" i="42812"/>
  <c r="H303" i="42812"/>
  <c r="G303" i="42812"/>
  <c r="F303" i="42812"/>
  <c r="E303" i="42812"/>
  <c r="D303" i="42812"/>
  <c r="C303" i="42812"/>
  <c r="B303" i="42812"/>
  <c r="K302" i="42812"/>
  <c r="J302" i="42812"/>
  <c r="I302" i="42812"/>
  <c r="H302" i="42812"/>
  <c r="G302" i="42812"/>
  <c r="F302" i="42812"/>
  <c r="E302" i="42812"/>
  <c r="D302" i="42812"/>
  <c r="C302" i="42812"/>
  <c r="B302" i="42812"/>
  <c r="K301" i="42812"/>
  <c r="J301" i="42812"/>
  <c r="I301" i="42812"/>
  <c r="H301" i="42812"/>
  <c r="G301" i="42812"/>
  <c r="F301" i="42812"/>
  <c r="E301" i="42812"/>
  <c r="D301" i="42812"/>
  <c r="C301" i="42812"/>
  <c r="B301" i="42812"/>
  <c r="K300" i="42812"/>
  <c r="J300" i="42812"/>
  <c r="I300" i="42812"/>
  <c r="H300" i="42812"/>
  <c r="G300" i="42812"/>
  <c r="F300" i="42812"/>
  <c r="E300" i="42812"/>
  <c r="D300" i="42812"/>
  <c r="C300" i="42812"/>
  <c r="B300" i="42812"/>
  <c r="K299" i="42812"/>
  <c r="J299" i="42812"/>
  <c r="I299" i="42812"/>
  <c r="H299" i="42812"/>
  <c r="G299" i="42812"/>
  <c r="F299" i="42812"/>
  <c r="E299" i="42812"/>
  <c r="D299" i="42812"/>
  <c r="C299" i="42812"/>
  <c r="B299" i="42812"/>
  <c r="K298" i="42812"/>
  <c r="J298" i="42812"/>
  <c r="I298" i="42812"/>
  <c r="H298" i="42812"/>
  <c r="G298" i="42812"/>
  <c r="F298" i="42812"/>
  <c r="E298" i="42812"/>
  <c r="D298" i="42812"/>
  <c r="C298" i="42812"/>
  <c r="B298" i="42812"/>
  <c r="K297" i="42812"/>
  <c r="J297" i="42812"/>
  <c r="I297" i="42812"/>
  <c r="H297" i="42812"/>
  <c r="G297" i="42812"/>
  <c r="F297" i="42812"/>
  <c r="E297" i="42812"/>
  <c r="D297" i="42812"/>
  <c r="C297" i="42812"/>
  <c r="B297" i="42812"/>
  <c r="K296" i="42812"/>
  <c r="J296" i="42812"/>
  <c r="I296" i="42812"/>
  <c r="H296" i="42812"/>
  <c r="G296" i="42812"/>
  <c r="F296" i="42812"/>
  <c r="E296" i="42812"/>
  <c r="D296" i="42812"/>
  <c r="C296" i="42812"/>
  <c r="B296" i="42812"/>
  <c r="K295" i="42812"/>
  <c r="J295" i="42812"/>
  <c r="I295" i="42812"/>
  <c r="H295" i="42812"/>
  <c r="G295" i="42812"/>
  <c r="F295" i="42812"/>
  <c r="E295" i="42812"/>
  <c r="D295" i="42812"/>
  <c r="C295" i="42812"/>
  <c r="B295" i="42812"/>
  <c r="K294" i="42812"/>
  <c r="J294" i="42812"/>
  <c r="I294" i="42812"/>
  <c r="H294" i="42812"/>
  <c r="G294" i="42812"/>
  <c r="F294" i="42812"/>
  <c r="E294" i="42812"/>
  <c r="D294" i="42812"/>
  <c r="C294" i="42812"/>
  <c r="B294" i="42812"/>
  <c r="K293" i="42812"/>
  <c r="J293" i="42812"/>
  <c r="I293" i="42812"/>
  <c r="H293" i="42812"/>
  <c r="G293" i="42812"/>
  <c r="F293" i="42812"/>
  <c r="E293" i="42812"/>
  <c r="D293" i="42812"/>
  <c r="C293" i="42812"/>
  <c r="B293" i="42812"/>
  <c r="K292" i="42812"/>
  <c r="J292" i="42812"/>
  <c r="I292" i="42812"/>
  <c r="H292" i="42812"/>
  <c r="G292" i="42812"/>
  <c r="F292" i="42812"/>
  <c r="E292" i="42812"/>
  <c r="D292" i="42812"/>
  <c r="C292" i="42812"/>
  <c r="B292" i="42812"/>
  <c r="K291" i="42812"/>
  <c r="J291" i="42812"/>
  <c r="I291" i="42812"/>
  <c r="H291" i="42812"/>
  <c r="G291" i="42812"/>
  <c r="F291" i="42812"/>
  <c r="E291" i="42812"/>
  <c r="D291" i="42812"/>
  <c r="C291" i="42812"/>
  <c r="B291" i="42812"/>
  <c r="K290" i="42812"/>
  <c r="J290" i="42812"/>
  <c r="I290" i="42812"/>
  <c r="H290" i="42812"/>
  <c r="G290" i="42812"/>
  <c r="F290" i="42812"/>
  <c r="E290" i="42812"/>
  <c r="D290" i="42812"/>
  <c r="C290" i="42812"/>
  <c r="B290" i="42812"/>
  <c r="K289" i="42812"/>
  <c r="J289" i="42812"/>
  <c r="I289" i="42812"/>
  <c r="H289" i="42812"/>
  <c r="G289" i="42812"/>
  <c r="F289" i="42812"/>
  <c r="E289" i="42812"/>
  <c r="D289" i="42812"/>
  <c r="C289" i="42812"/>
  <c r="B289" i="42812"/>
  <c r="K288" i="42812"/>
  <c r="J288" i="42812"/>
  <c r="I288" i="42812"/>
  <c r="H288" i="42812"/>
  <c r="G288" i="42812"/>
  <c r="F288" i="42812"/>
  <c r="E288" i="42812"/>
  <c r="D288" i="42812"/>
  <c r="C288" i="42812"/>
  <c r="B288" i="42812"/>
  <c r="K287" i="42812"/>
  <c r="J287" i="42812"/>
  <c r="I287" i="42812"/>
  <c r="H287" i="42812"/>
  <c r="G287" i="42812"/>
  <c r="F287" i="42812"/>
  <c r="E287" i="42812"/>
  <c r="D287" i="42812"/>
  <c r="C287" i="42812"/>
  <c r="B287" i="42812"/>
  <c r="K286" i="42812"/>
  <c r="J286" i="42812"/>
  <c r="I286" i="42812"/>
  <c r="H286" i="42812"/>
  <c r="G286" i="42812"/>
  <c r="F286" i="42812"/>
  <c r="E286" i="42812"/>
  <c r="D286" i="42812"/>
  <c r="C286" i="42812"/>
  <c r="B286" i="42812"/>
  <c r="K285" i="42812"/>
  <c r="J285" i="42812"/>
  <c r="I285" i="42812"/>
  <c r="H285" i="42812"/>
  <c r="G285" i="42812"/>
  <c r="F285" i="42812"/>
  <c r="E285" i="42812"/>
  <c r="D285" i="42812"/>
  <c r="C285" i="42812"/>
  <c r="B285" i="42812"/>
  <c r="K284" i="42812"/>
  <c r="J284" i="42812"/>
  <c r="I284" i="42812"/>
  <c r="H284" i="42812"/>
  <c r="G284" i="42812"/>
  <c r="F284" i="42812"/>
  <c r="E284" i="42812"/>
  <c r="D284" i="42812"/>
  <c r="C284" i="42812"/>
  <c r="B284" i="42812"/>
  <c r="K283" i="42812"/>
  <c r="J283" i="42812"/>
  <c r="I283" i="42812"/>
  <c r="H283" i="42812"/>
  <c r="G283" i="42812"/>
  <c r="F283" i="42812"/>
  <c r="E283" i="42812"/>
  <c r="D283" i="42812"/>
  <c r="C283" i="42812"/>
  <c r="B283" i="42812"/>
  <c r="K282" i="42812"/>
  <c r="J282" i="42812"/>
  <c r="I282" i="42812"/>
  <c r="H282" i="42812"/>
  <c r="G282" i="42812"/>
  <c r="F282" i="42812"/>
  <c r="E282" i="42812"/>
  <c r="D282" i="42812"/>
  <c r="C282" i="42812"/>
  <c r="B282" i="42812"/>
  <c r="K281" i="42812"/>
  <c r="J281" i="42812"/>
  <c r="I281" i="42812"/>
  <c r="H281" i="42812"/>
  <c r="G281" i="42812"/>
  <c r="F281" i="42812"/>
  <c r="E281" i="42812"/>
  <c r="D281" i="42812"/>
  <c r="C281" i="42812"/>
  <c r="B281" i="42812"/>
  <c r="K280" i="42812"/>
  <c r="J280" i="42812"/>
  <c r="I280" i="42812"/>
  <c r="H280" i="42812"/>
  <c r="G280" i="42812"/>
  <c r="F280" i="42812"/>
  <c r="E280" i="42812"/>
  <c r="D280" i="42812"/>
  <c r="C280" i="42812"/>
  <c r="B280" i="42812"/>
  <c r="K279" i="42812"/>
  <c r="J279" i="42812"/>
  <c r="I279" i="42812"/>
  <c r="H279" i="42812"/>
  <c r="G279" i="42812"/>
  <c r="F279" i="42812"/>
  <c r="E279" i="42812"/>
  <c r="D279" i="42812"/>
  <c r="C279" i="42812"/>
  <c r="B279" i="42812"/>
  <c r="K278" i="42812"/>
  <c r="J278" i="42812"/>
  <c r="I278" i="42812"/>
  <c r="H278" i="42812"/>
  <c r="G278" i="42812"/>
  <c r="F278" i="42812"/>
  <c r="E278" i="42812"/>
  <c r="D278" i="42812"/>
  <c r="C278" i="42812"/>
  <c r="B278" i="42812"/>
  <c r="K277" i="42812"/>
  <c r="J277" i="42812"/>
  <c r="I277" i="42812"/>
  <c r="H277" i="42812"/>
  <c r="G277" i="42812"/>
  <c r="F277" i="42812"/>
  <c r="E277" i="42812"/>
  <c r="D277" i="42812"/>
  <c r="C277" i="42812"/>
  <c r="B277" i="42812"/>
  <c r="K276" i="42812"/>
  <c r="J276" i="42812"/>
  <c r="I276" i="42812"/>
  <c r="H276" i="42812"/>
  <c r="G276" i="42812"/>
  <c r="F276" i="42812"/>
  <c r="E276" i="42812"/>
  <c r="D276" i="42812"/>
  <c r="C276" i="42812"/>
  <c r="B276" i="42812"/>
  <c r="K275" i="42812"/>
  <c r="J275" i="42812"/>
  <c r="I275" i="42812"/>
  <c r="H275" i="42812"/>
  <c r="G275" i="42812"/>
  <c r="F275" i="42812"/>
  <c r="E275" i="42812"/>
  <c r="D275" i="42812"/>
  <c r="C275" i="42812"/>
  <c r="B275" i="42812"/>
  <c r="K274" i="42812"/>
  <c r="J274" i="42812"/>
  <c r="I274" i="42812"/>
  <c r="H274" i="42812"/>
  <c r="G274" i="42812"/>
  <c r="F274" i="42812"/>
  <c r="E274" i="42812"/>
  <c r="D274" i="42812"/>
  <c r="C274" i="42812"/>
  <c r="B274" i="42812"/>
  <c r="K273" i="42812"/>
  <c r="J273" i="42812"/>
  <c r="I273" i="42812"/>
  <c r="H273" i="42812"/>
  <c r="G273" i="42812"/>
  <c r="F273" i="42812"/>
  <c r="E273" i="42812"/>
  <c r="D273" i="42812"/>
  <c r="C273" i="42812"/>
  <c r="B273" i="42812"/>
  <c r="K272" i="42812"/>
  <c r="J272" i="42812"/>
  <c r="I272" i="42812"/>
  <c r="H272" i="42812"/>
  <c r="G272" i="42812"/>
  <c r="F272" i="42812"/>
  <c r="E272" i="42812"/>
  <c r="D272" i="42812"/>
  <c r="C272" i="42812"/>
  <c r="B272" i="42812"/>
  <c r="K271" i="42812"/>
  <c r="J271" i="42812"/>
  <c r="I271" i="42812"/>
  <c r="H271" i="42812"/>
  <c r="G271" i="42812"/>
  <c r="F271" i="42812"/>
  <c r="E271" i="42812"/>
  <c r="D271" i="42812"/>
  <c r="C271" i="42812"/>
  <c r="B271" i="42812"/>
  <c r="K270" i="42812"/>
  <c r="J270" i="42812"/>
  <c r="I270" i="42812"/>
  <c r="H270" i="42812"/>
  <c r="G270" i="42812"/>
  <c r="F270" i="42812"/>
  <c r="E270" i="42812"/>
  <c r="D270" i="42812"/>
  <c r="C270" i="42812"/>
  <c r="B270" i="42812"/>
  <c r="K269" i="42812"/>
  <c r="J269" i="42812"/>
  <c r="I269" i="42812"/>
  <c r="H269" i="42812"/>
  <c r="G269" i="42812"/>
  <c r="F269" i="42812"/>
  <c r="E269" i="42812"/>
  <c r="D269" i="42812"/>
  <c r="C269" i="42812"/>
  <c r="B269" i="42812"/>
  <c r="K268" i="42812"/>
  <c r="J268" i="42812"/>
  <c r="I268" i="42812"/>
  <c r="H268" i="42812"/>
  <c r="G268" i="42812"/>
  <c r="F268" i="42812"/>
  <c r="E268" i="42812"/>
  <c r="D268" i="42812"/>
  <c r="C268" i="42812"/>
  <c r="B268" i="42812"/>
  <c r="K267" i="42812"/>
  <c r="J267" i="42812"/>
  <c r="I267" i="42812"/>
  <c r="H267" i="42812"/>
  <c r="G267" i="42812"/>
  <c r="F267" i="42812"/>
  <c r="E267" i="42812"/>
  <c r="D267" i="42812"/>
  <c r="C267" i="42812"/>
  <c r="B267" i="42812"/>
  <c r="K266" i="42812"/>
  <c r="J266" i="42812"/>
  <c r="I266" i="42812"/>
  <c r="H266" i="42812"/>
  <c r="G266" i="42812"/>
  <c r="F266" i="42812"/>
  <c r="E266" i="42812"/>
  <c r="D266" i="42812"/>
  <c r="C266" i="42812"/>
  <c r="B266" i="42812"/>
  <c r="K265" i="42812"/>
  <c r="J265" i="42812"/>
  <c r="I265" i="42812"/>
  <c r="H265" i="42812"/>
  <c r="G265" i="42812"/>
  <c r="F265" i="42812"/>
  <c r="E265" i="42812"/>
  <c r="D265" i="42812"/>
  <c r="C265" i="42812"/>
  <c r="B265" i="42812"/>
  <c r="K264" i="42812"/>
  <c r="J264" i="42812"/>
  <c r="I264" i="42812"/>
  <c r="H264" i="42812"/>
  <c r="G264" i="42812"/>
  <c r="F264" i="42812"/>
  <c r="E264" i="42812"/>
  <c r="D264" i="42812"/>
  <c r="C264" i="42812"/>
  <c r="B264" i="42812"/>
  <c r="K263" i="42812"/>
  <c r="J263" i="42812"/>
  <c r="I263" i="42812"/>
  <c r="H263" i="42812"/>
  <c r="G263" i="42812"/>
  <c r="F263" i="42812"/>
  <c r="E263" i="42812"/>
  <c r="D263" i="42812"/>
  <c r="C263" i="42812"/>
  <c r="B263" i="42812"/>
  <c r="K262" i="42812"/>
  <c r="J262" i="42812"/>
  <c r="I262" i="42812"/>
  <c r="H262" i="42812"/>
  <c r="G262" i="42812"/>
  <c r="F262" i="42812"/>
  <c r="E262" i="42812"/>
  <c r="D262" i="42812"/>
  <c r="C262" i="42812"/>
  <c r="B262" i="42812"/>
  <c r="K261" i="42812"/>
  <c r="J261" i="42812"/>
  <c r="I261" i="42812"/>
  <c r="H261" i="42812"/>
  <c r="G261" i="42812"/>
  <c r="F261" i="42812"/>
  <c r="E261" i="42812"/>
  <c r="D261" i="42812"/>
  <c r="C261" i="42812"/>
  <c r="B261" i="42812"/>
  <c r="K260" i="42812"/>
  <c r="J260" i="42812"/>
  <c r="I260" i="42812"/>
  <c r="H260" i="42812"/>
  <c r="G260" i="42812"/>
  <c r="F260" i="42812"/>
  <c r="E260" i="42812"/>
  <c r="D260" i="42812"/>
  <c r="C260" i="42812"/>
  <c r="B260" i="42812"/>
  <c r="K259" i="42812"/>
  <c r="J259" i="42812"/>
  <c r="I259" i="42812"/>
  <c r="H259" i="42812"/>
  <c r="G259" i="42812"/>
  <c r="F259" i="42812"/>
  <c r="E259" i="42812"/>
  <c r="D259" i="42812"/>
  <c r="C259" i="42812"/>
  <c r="B259" i="42812"/>
  <c r="K258" i="42812"/>
  <c r="J258" i="42812"/>
  <c r="I258" i="42812"/>
  <c r="H258" i="42812"/>
  <c r="G258" i="42812"/>
  <c r="F258" i="42812"/>
  <c r="E258" i="42812"/>
  <c r="D258" i="42812"/>
  <c r="C258" i="42812"/>
  <c r="B258" i="42812"/>
  <c r="K257" i="42812"/>
  <c r="J257" i="42812"/>
  <c r="I257" i="42812"/>
  <c r="H257" i="42812"/>
  <c r="G257" i="42812"/>
  <c r="F257" i="42812"/>
  <c r="E257" i="42812"/>
  <c r="D257" i="42812"/>
  <c r="C257" i="42812"/>
  <c r="B257" i="42812"/>
  <c r="K256" i="42812"/>
  <c r="J256" i="42812"/>
  <c r="I256" i="42812"/>
  <c r="H256" i="42812"/>
  <c r="G256" i="42812"/>
  <c r="F256" i="42812"/>
  <c r="E256" i="42812"/>
  <c r="D256" i="42812"/>
  <c r="C256" i="42812"/>
  <c r="B256" i="42812"/>
  <c r="K255" i="42812"/>
  <c r="J255" i="42812"/>
  <c r="I255" i="42812"/>
  <c r="H255" i="42812"/>
  <c r="G255" i="42812"/>
  <c r="F255" i="42812"/>
  <c r="E255" i="42812"/>
  <c r="D255" i="42812"/>
  <c r="C255" i="42812"/>
  <c r="B255" i="42812"/>
  <c r="K254" i="42812"/>
  <c r="J254" i="42812"/>
  <c r="I254" i="42812"/>
  <c r="H254" i="42812"/>
  <c r="G254" i="42812"/>
  <c r="F254" i="42812"/>
  <c r="E254" i="42812"/>
  <c r="D254" i="42812"/>
  <c r="C254" i="42812"/>
  <c r="B254" i="42812"/>
  <c r="K253" i="42812"/>
  <c r="J253" i="42812"/>
  <c r="I253" i="42812"/>
  <c r="H253" i="42812"/>
  <c r="G253" i="42812"/>
  <c r="F253" i="42812"/>
  <c r="E253" i="42812"/>
  <c r="D253" i="42812"/>
  <c r="C253" i="42812"/>
  <c r="B253" i="42812"/>
  <c r="K252" i="42812"/>
  <c r="J252" i="42812"/>
  <c r="I252" i="42812"/>
  <c r="H252" i="42812"/>
  <c r="G252" i="42812"/>
  <c r="F252" i="42812"/>
  <c r="E252" i="42812"/>
  <c r="D252" i="42812"/>
  <c r="C252" i="42812"/>
  <c r="B252" i="42812"/>
  <c r="K251" i="42812"/>
  <c r="J251" i="42812"/>
  <c r="I251" i="42812"/>
  <c r="H251" i="42812"/>
  <c r="G251" i="42812"/>
  <c r="F251" i="42812"/>
  <c r="E251" i="42812"/>
  <c r="D251" i="42812"/>
  <c r="C251" i="42812"/>
  <c r="B251" i="42812"/>
  <c r="K250" i="42812"/>
  <c r="J250" i="42812"/>
  <c r="I250" i="42812"/>
  <c r="H250" i="42812"/>
  <c r="G250" i="42812"/>
  <c r="F250" i="42812"/>
  <c r="E250" i="42812"/>
  <c r="D250" i="42812"/>
  <c r="C250" i="42812"/>
  <c r="B250" i="42812"/>
  <c r="K249" i="42812"/>
  <c r="J249" i="42812"/>
  <c r="I249" i="42812"/>
  <c r="H249" i="42812"/>
  <c r="G249" i="42812"/>
  <c r="F249" i="42812"/>
  <c r="E249" i="42812"/>
  <c r="D249" i="42812"/>
  <c r="C249" i="42812"/>
  <c r="B249" i="42812"/>
  <c r="K248" i="42812"/>
  <c r="J248" i="42812"/>
  <c r="I248" i="42812"/>
  <c r="H248" i="42812"/>
  <c r="G248" i="42812"/>
  <c r="F248" i="42812"/>
  <c r="E248" i="42812"/>
  <c r="D248" i="42812"/>
  <c r="C248" i="42812"/>
  <c r="B248" i="42812"/>
  <c r="K247" i="42812"/>
  <c r="J247" i="42812"/>
  <c r="I247" i="42812"/>
  <c r="H247" i="42812"/>
  <c r="G247" i="42812"/>
  <c r="F247" i="42812"/>
  <c r="E247" i="42812"/>
  <c r="D247" i="42812"/>
  <c r="C247" i="42812"/>
  <c r="B247" i="42812"/>
  <c r="K246" i="42812"/>
  <c r="J246" i="42812"/>
  <c r="I246" i="42812"/>
  <c r="H246" i="42812"/>
  <c r="G246" i="42812"/>
  <c r="F246" i="42812"/>
  <c r="E246" i="42812"/>
  <c r="D246" i="42812"/>
  <c r="C246" i="42812"/>
  <c r="B246" i="42812"/>
  <c r="K245" i="42812"/>
  <c r="J245" i="42812"/>
  <c r="I245" i="42812"/>
  <c r="H245" i="42812"/>
  <c r="G245" i="42812"/>
  <c r="F245" i="42812"/>
  <c r="E245" i="42812"/>
  <c r="D245" i="42812"/>
  <c r="C245" i="42812"/>
  <c r="B245" i="42812"/>
  <c r="K244" i="42812"/>
  <c r="J244" i="42812"/>
  <c r="I244" i="42812"/>
  <c r="H244" i="42812"/>
  <c r="G244" i="42812"/>
  <c r="F244" i="42812"/>
  <c r="E244" i="42812"/>
  <c r="D244" i="42812"/>
  <c r="C244" i="42812"/>
  <c r="B244" i="42812"/>
  <c r="K243" i="42812"/>
  <c r="J243" i="42812"/>
  <c r="I243" i="42812"/>
  <c r="H243" i="42812"/>
  <c r="G243" i="42812"/>
  <c r="F243" i="42812"/>
  <c r="E243" i="42812"/>
  <c r="D243" i="42812"/>
  <c r="C243" i="42812"/>
  <c r="B243" i="42812"/>
  <c r="K242" i="42812"/>
  <c r="J242" i="42812"/>
  <c r="I242" i="42812"/>
  <c r="H242" i="42812"/>
  <c r="G242" i="42812"/>
  <c r="F242" i="42812"/>
  <c r="E242" i="42812"/>
  <c r="D242" i="42812"/>
  <c r="C242" i="42812"/>
  <c r="B242" i="42812"/>
  <c r="K241" i="42812"/>
  <c r="J241" i="42812"/>
  <c r="I241" i="42812"/>
  <c r="H241" i="42812"/>
  <c r="G241" i="42812"/>
  <c r="F241" i="42812"/>
  <c r="E241" i="42812"/>
  <c r="D241" i="42812"/>
  <c r="C241" i="42812"/>
  <c r="B241" i="42812"/>
  <c r="K240" i="42812"/>
  <c r="J240" i="42812"/>
  <c r="I240" i="42812"/>
  <c r="H240" i="42812"/>
  <c r="G240" i="42812"/>
  <c r="F240" i="42812"/>
  <c r="E240" i="42812"/>
  <c r="D240" i="42812"/>
  <c r="C240" i="42812"/>
  <c r="B240" i="42812"/>
  <c r="K239" i="42812"/>
  <c r="J239" i="42812"/>
  <c r="I239" i="42812"/>
  <c r="H239" i="42812"/>
  <c r="G239" i="42812"/>
  <c r="F239" i="42812"/>
  <c r="E239" i="42812"/>
  <c r="D239" i="42812"/>
  <c r="C239" i="42812"/>
  <c r="B239" i="42812"/>
  <c r="K238" i="42812"/>
  <c r="J238" i="42812"/>
  <c r="I238" i="42812"/>
  <c r="H238" i="42812"/>
  <c r="G238" i="42812"/>
  <c r="F238" i="42812"/>
  <c r="E238" i="42812"/>
  <c r="D238" i="42812"/>
  <c r="C238" i="42812"/>
  <c r="B238" i="42812"/>
  <c r="K237" i="42812"/>
  <c r="J237" i="42812"/>
  <c r="I237" i="42812"/>
  <c r="H237" i="42812"/>
  <c r="G237" i="42812"/>
  <c r="F237" i="42812"/>
  <c r="E237" i="42812"/>
  <c r="D237" i="42812"/>
  <c r="C237" i="42812"/>
  <c r="B237" i="42812"/>
  <c r="K236" i="42812"/>
  <c r="J236" i="42812"/>
  <c r="I236" i="42812"/>
  <c r="H236" i="42812"/>
  <c r="G236" i="42812"/>
  <c r="F236" i="42812"/>
  <c r="E236" i="42812"/>
  <c r="D236" i="42812"/>
  <c r="C236" i="42812"/>
  <c r="B236" i="42812"/>
  <c r="K235" i="42812"/>
  <c r="J235" i="42812"/>
  <c r="I235" i="42812"/>
  <c r="H235" i="42812"/>
  <c r="G235" i="42812"/>
  <c r="F235" i="42812"/>
  <c r="E235" i="42812"/>
  <c r="D235" i="42812"/>
  <c r="C235" i="42812"/>
  <c r="B235" i="42812"/>
  <c r="K234" i="42812"/>
  <c r="J234" i="42812"/>
  <c r="I234" i="42812"/>
  <c r="H234" i="42812"/>
  <c r="G234" i="42812"/>
  <c r="F234" i="42812"/>
  <c r="E234" i="42812"/>
  <c r="D234" i="42812"/>
  <c r="C234" i="42812"/>
  <c r="B234" i="42812"/>
  <c r="K233" i="42812"/>
  <c r="J233" i="42812"/>
  <c r="I233" i="42812"/>
  <c r="H233" i="42812"/>
  <c r="G233" i="42812"/>
  <c r="F233" i="42812"/>
  <c r="E233" i="42812"/>
  <c r="D233" i="42812"/>
  <c r="C233" i="42812"/>
  <c r="B233" i="42812"/>
  <c r="K232" i="42812"/>
  <c r="J232" i="42812"/>
  <c r="I232" i="42812"/>
  <c r="H232" i="42812"/>
  <c r="G232" i="42812"/>
  <c r="F232" i="42812"/>
  <c r="E232" i="42812"/>
  <c r="D232" i="42812"/>
  <c r="C232" i="42812"/>
  <c r="B232" i="42812"/>
  <c r="K231" i="42812"/>
  <c r="J231" i="42812"/>
  <c r="I231" i="42812"/>
  <c r="H231" i="42812"/>
  <c r="G231" i="42812"/>
  <c r="F231" i="42812"/>
  <c r="E231" i="42812"/>
  <c r="D231" i="42812"/>
  <c r="C231" i="42812"/>
  <c r="B231" i="42812"/>
  <c r="K230" i="42812"/>
  <c r="J230" i="42812"/>
  <c r="I230" i="42812"/>
  <c r="H230" i="42812"/>
  <c r="G230" i="42812"/>
  <c r="F230" i="42812"/>
  <c r="E230" i="42812"/>
  <c r="D230" i="42812"/>
  <c r="C230" i="42812"/>
  <c r="B230" i="42812"/>
  <c r="K229" i="42812"/>
  <c r="J229" i="42812"/>
  <c r="I229" i="42812"/>
  <c r="H229" i="42812"/>
  <c r="G229" i="42812"/>
  <c r="F229" i="42812"/>
  <c r="E229" i="42812"/>
  <c r="D229" i="42812"/>
  <c r="C229" i="42812"/>
  <c r="B229" i="42812"/>
  <c r="K228" i="42812"/>
  <c r="J228" i="42812"/>
  <c r="I228" i="42812"/>
  <c r="H228" i="42812"/>
  <c r="G228" i="42812"/>
  <c r="F228" i="42812"/>
  <c r="E228" i="42812"/>
  <c r="D228" i="42812"/>
  <c r="C228" i="42812"/>
  <c r="B228" i="42812"/>
  <c r="K227" i="42812"/>
  <c r="J227" i="42812"/>
  <c r="I227" i="42812"/>
  <c r="H227" i="42812"/>
  <c r="G227" i="42812"/>
  <c r="F227" i="42812"/>
  <c r="E227" i="42812"/>
  <c r="D227" i="42812"/>
  <c r="C227" i="42812"/>
  <c r="B227" i="42812"/>
  <c r="K226" i="42812"/>
  <c r="J226" i="42812"/>
  <c r="I226" i="42812"/>
  <c r="H226" i="42812"/>
  <c r="G226" i="42812"/>
  <c r="F226" i="42812"/>
  <c r="E226" i="42812"/>
  <c r="D226" i="42812"/>
  <c r="C226" i="42812"/>
  <c r="B226" i="42812"/>
  <c r="K225" i="42812"/>
  <c r="J225" i="42812"/>
  <c r="I225" i="42812"/>
  <c r="H225" i="42812"/>
  <c r="G225" i="42812"/>
  <c r="F225" i="42812"/>
  <c r="E225" i="42812"/>
  <c r="D225" i="42812"/>
  <c r="C225" i="42812"/>
  <c r="B225" i="42812"/>
  <c r="K224" i="42812"/>
  <c r="J224" i="42812"/>
  <c r="I224" i="42812"/>
  <c r="H224" i="42812"/>
  <c r="G224" i="42812"/>
  <c r="F224" i="42812"/>
  <c r="E224" i="42812"/>
  <c r="D224" i="42812"/>
  <c r="C224" i="42812"/>
  <c r="B224" i="42812"/>
  <c r="K223" i="42812"/>
  <c r="J223" i="42812"/>
  <c r="I223" i="42812"/>
  <c r="H223" i="42812"/>
  <c r="G223" i="42812"/>
  <c r="F223" i="42812"/>
  <c r="E223" i="42812"/>
  <c r="D223" i="42812"/>
  <c r="C223" i="42812"/>
  <c r="B223" i="42812"/>
  <c r="K222" i="42812"/>
  <c r="J222" i="42812"/>
  <c r="I222" i="42812"/>
  <c r="H222" i="42812"/>
  <c r="G222" i="42812"/>
  <c r="F222" i="42812"/>
  <c r="E222" i="42812"/>
  <c r="D222" i="42812"/>
  <c r="C222" i="42812"/>
  <c r="B222" i="42812"/>
  <c r="K221" i="42812"/>
  <c r="J221" i="42812"/>
  <c r="I221" i="42812"/>
  <c r="H221" i="42812"/>
  <c r="G221" i="42812"/>
  <c r="F221" i="42812"/>
  <c r="E221" i="42812"/>
  <c r="D221" i="42812"/>
  <c r="C221" i="42812"/>
  <c r="B221" i="42812"/>
  <c r="K220" i="42812"/>
  <c r="J220" i="42812"/>
  <c r="I220" i="42812"/>
  <c r="H220" i="42812"/>
  <c r="G220" i="42812"/>
  <c r="F220" i="42812"/>
  <c r="E220" i="42812"/>
  <c r="D220" i="42812"/>
  <c r="C220" i="42812"/>
  <c r="B220" i="42812"/>
  <c r="K219" i="42812"/>
  <c r="J219" i="42812"/>
  <c r="I219" i="42812"/>
  <c r="H219" i="42812"/>
  <c r="G219" i="42812"/>
  <c r="F219" i="42812"/>
  <c r="E219" i="42812"/>
  <c r="D219" i="42812"/>
  <c r="C219" i="42812"/>
  <c r="B219" i="42812"/>
  <c r="K218" i="42812"/>
  <c r="J218" i="42812"/>
  <c r="I218" i="42812"/>
  <c r="H218" i="42812"/>
  <c r="G218" i="42812"/>
  <c r="F218" i="42812"/>
  <c r="E218" i="42812"/>
  <c r="D218" i="42812"/>
  <c r="C218" i="42812"/>
  <c r="B218" i="42812"/>
  <c r="K217" i="42812"/>
  <c r="J217" i="42812"/>
  <c r="I217" i="42812"/>
  <c r="H217" i="42812"/>
  <c r="G217" i="42812"/>
  <c r="F217" i="42812"/>
  <c r="E217" i="42812"/>
  <c r="D217" i="42812"/>
  <c r="C217" i="42812"/>
  <c r="B217" i="42812"/>
  <c r="K216" i="42812"/>
  <c r="J216" i="42812"/>
  <c r="I216" i="42812"/>
  <c r="H216" i="42812"/>
  <c r="G216" i="42812"/>
  <c r="F216" i="42812"/>
  <c r="E216" i="42812"/>
  <c r="D216" i="42812"/>
  <c r="C216" i="42812"/>
  <c r="B216" i="42812"/>
  <c r="K215" i="42812"/>
  <c r="J215" i="42812"/>
  <c r="I215" i="42812"/>
  <c r="H215" i="42812"/>
  <c r="G215" i="42812"/>
  <c r="F215" i="42812"/>
  <c r="E215" i="42812"/>
  <c r="D215" i="42812"/>
  <c r="C215" i="42812"/>
  <c r="B215" i="42812"/>
  <c r="K214" i="42812"/>
  <c r="J214" i="42812"/>
  <c r="I214" i="42812"/>
  <c r="H214" i="42812"/>
  <c r="G214" i="42812"/>
  <c r="F214" i="42812"/>
  <c r="E214" i="42812"/>
  <c r="D214" i="42812"/>
  <c r="C214" i="42812"/>
  <c r="B214" i="42812"/>
  <c r="K213" i="42812"/>
  <c r="J213" i="42812"/>
  <c r="I213" i="42812"/>
  <c r="H213" i="42812"/>
  <c r="G213" i="42812"/>
  <c r="F213" i="42812"/>
  <c r="E213" i="42812"/>
  <c r="D213" i="42812"/>
  <c r="C213" i="42812"/>
  <c r="B213" i="42812"/>
  <c r="K212" i="42812"/>
  <c r="J212" i="42812"/>
  <c r="I212" i="42812"/>
  <c r="H212" i="42812"/>
  <c r="G212" i="42812"/>
  <c r="F212" i="42812"/>
  <c r="E212" i="42812"/>
  <c r="D212" i="42812"/>
  <c r="C212" i="42812"/>
  <c r="B212" i="42812"/>
  <c r="K211" i="42812"/>
  <c r="J211" i="42812"/>
  <c r="I211" i="42812"/>
  <c r="H211" i="42812"/>
  <c r="G211" i="42812"/>
  <c r="F211" i="42812"/>
  <c r="E211" i="42812"/>
  <c r="D211" i="42812"/>
  <c r="C211" i="42812"/>
  <c r="B211" i="42812"/>
  <c r="K210" i="42812"/>
  <c r="J210" i="42812"/>
  <c r="I210" i="42812"/>
  <c r="H210" i="42812"/>
  <c r="G210" i="42812"/>
  <c r="F210" i="42812"/>
  <c r="E210" i="42812"/>
  <c r="D210" i="42812"/>
  <c r="C210" i="42812"/>
  <c r="B210" i="42812"/>
  <c r="K209" i="42812"/>
  <c r="J209" i="42812"/>
  <c r="I209" i="42812"/>
  <c r="H209" i="42812"/>
  <c r="G209" i="42812"/>
  <c r="F209" i="42812"/>
  <c r="E209" i="42812"/>
  <c r="D209" i="42812"/>
  <c r="C209" i="42812"/>
  <c r="B209" i="42812"/>
  <c r="K208" i="42812"/>
  <c r="J208" i="42812"/>
  <c r="I208" i="42812"/>
  <c r="H208" i="42812"/>
  <c r="G208" i="42812"/>
  <c r="F208" i="42812"/>
  <c r="E208" i="42812"/>
  <c r="D208" i="42812"/>
  <c r="C208" i="42812"/>
  <c r="B208" i="42812"/>
  <c r="K207" i="42812"/>
  <c r="J207" i="42812"/>
  <c r="I207" i="42812"/>
  <c r="H207" i="42812"/>
  <c r="G207" i="42812"/>
  <c r="F207" i="42812"/>
  <c r="E207" i="42812"/>
  <c r="D207" i="42812"/>
  <c r="C207" i="42812"/>
  <c r="B207" i="42812"/>
  <c r="K206" i="42812"/>
  <c r="J206" i="42812"/>
  <c r="I206" i="42812"/>
  <c r="H206" i="42812"/>
  <c r="G206" i="42812"/>
  <c r="F206" i="42812"/>
  <c r="E206" i="42812"/>
  <c r="D206" i="42812"/>
  <c r="C206" i="42812"/>
  <c r="B206" i="42812"/>
  <c r="K205" i="42812"/>
  <c r="J205" i="42812"/>
  <c r="I205" i="42812"/>
  <c r="H205" i="42812"/>
  <c r="G205" i="42812"/>
  <c r="F205" i="42812"/>
  <c r="E205" i="42812"/>
  <c r="D205" i="42812"/>
  <c r="C205" i="42812"/>
  <c r="B205" i="42812"/>
  <c r="K204" i="42812"/>
  <c r="J204" i="42812"/>
  <c r="I204" i="42812"/>
  <c r="H204" i="42812"/>
  <c r="G204" i="42812"/>
  <c r="F204" i="42812"/>
  <c r="E204" i="42812"/>
  <c r="D204" i="42812"/>
  <c r="C204" i="42812"/>
  <c r="B204" i="42812"/>
  <c r="K203" i="42812"/>
  <c r="J203" i="42812"/>
  <c r="I203" i="42812"/>
  <c r="H203" i="42812"/>
  <c r="G203" i="42812"/>
  <c r="F203" i="42812"/>
  <c r="E203" i="42812"/>
  <c r="D203" i="42812"/>
  <c r="C203" i="42812"/>
  <c r="B203" i="42812"/>
  <c r="K202" i="42812"/>
  <c r="J202" i="42812"/>
  <c r="I202" i="42812"/>
  <c r="H202" i="42812"/>
  <c r="G202" i="42812"/>
  <c r="F202" i="42812"/>
  <c r="E202" i="42812"/>
  <c r="D202" i="42812"/>
  <c r="C202" i="42812"/>
  <c r="B202" i="42812"/>
  <c r="K201" i="42812"/>
  <c r="J201" i="42812"/>
  <c r="I201" i="42812"/>
  <c r="H201" i="42812"/>
  <c r="G201" i="42812"/>
  <c r="F201" i="42812"/>
  <c r="E201" i="42812"/>
  <c r="D201" i="42812"/>
  <c r="C201" i="42812"/>
  <c r="B201" i="42812"/>
  <c r="K200" i="42812"/>
  <c r="J200" i="42812"/>
  <c r="I200" i="42812"/>
  <c r="H200" i="42812"/>
  <c r="G200" i="42812"/>
  <c r="F200" i="42812"/>
  <c r="E200" i="42812"/>
  <c r="D200" i="42812"/>
  <c r="C200" i="42812"/>
  <c r="B200" i="42812"/>
  <c r="K199" i="42812"/>
  <c r="J199" i="42812"/>
  <c r="I199" i="42812"/>
  <c r="H199" i="42812"/>
  <c r="G199" i="42812"/>
  <c r="F199" i="42812"/>
  <c r="E199" i="42812"/>
  <c r="D199" i="42812"/>
  <c r="C199" i="42812"/>
  <c r="B199" i="42812"/>
  <c r="K198" i="42812"/>
  <c r="J198" i="42812"/>
  <c r="I198" i="42812"/>
  <c r="H198" i="42812"/>
  <c r="G198" i="42812"/>
  <c r="F198" i="42812"/>
  <c r="E198" i="42812"/>
  <c r="D198" i="42812"/>
  <c r="C198" i="42812"/>
  <c r="B198" i="42812"/>
  <c r="K197" i="42812"/>
  <c r="J197" i="42812"/>
  <c r="I197" i="42812"/>
  <c r="H197" i="42812"/>
  <c r="G197" i="42812"/>
  <c r="F197" i="42812"/>
  <c r="E197" i="42812"/>
  <c r="D197" i="42812"/>
  <c r="C197" i="42812"/>
  <c r="B197" i="42812"/>
  <c r="K196" i="42812"/>
  <c r="J196" i="42812"/>
  <c r="I196" i="42812"/>
  <c r="H196" i="42812"/>
  <c r="G196" i="42812"/>
  <c r="F196" i="42812"/>
  <c r="E196" i="42812"/>
  <c r="D196" i="42812"/>
  <c r="C196" i="42812"/>
  <c r="B196" i="42812"/>
  <c r="K195" i="42812"/>
  <c r="J195" i="42812"/>
  <c r="I195" i="42812"/>
  <c r="H195" i="42812"/>
  <c r="G195" i="42812"/>
  <c r="F195" i="42812"/>
  <c r="E195" i="42812"/>
  <c r="D195" i="42812"/>
  <c r="C195" i="42812"/>
  <c r="B195" i="42812"/>
  <c r="K194" i="42812"/>
  <c r="J194" i="42812"/>
  <c r="I194" i="42812"/>
  <c r="H194" i="42812"/>
  <c r="G194" i="42812"/>
  <c r="F194" i="42812"/>
  <c r="E194" i="42812"/>
  <c r="D194" i="42812"/>
  <c r="C194" i="42812"/>
  <c r="B194" i="42812"/>
  <c r="K193" i="42812"/>
  <c r="J193" i="42812"/>
  <c r="I193" i="42812"/>
  <c r="H193" i="42812"/>
  <c r="G193" i="42812"/>
  <c r="F193" i="42812"/>
  <c r="E193" i="42812"/>
  <c r="D193" i="42812"/>
  <c r="C193" i="42812"/>
  <c r="B193" i="42812"/>
  <c r="K192" i="42812"/>
  <c r="J192" i="42812"/>
  <c r="I192" i="42812"/>
  <c r="H192" i="42812"/>
  <c r="G192" i="42812"/>
  <c r="F192" i="42812"/>
  <c r="E192" i="42812"/>
  <c r="D192" i="42812"/>
  <c r="C192" i="42812"/>
  <c r="B192" i="42812"/>
  <c r="K191" i="42812"/>
  <c r="J191" i="42812"/>
  <c r="I191" i="42812"/>
  <c r="H191" i="42812"/>
  <c r="G191" i="42812"/>
  <c r="F191" i="42812"/>
  <c r="E191" i="42812"/>
  <c r="D191" i="42812"/>
  <c r="C191" i="42812"/>
  <c r="B191" i="42812"/>
  <c r="K190" i="42812"/>
  <c r="J190" i="42812"/>
  <c r="I190" i="42812"/>
  <c r="H190" i="42812"/>
  <c r="G190" i="42812"/>
  <c r="F190" i="42812"/>
  <c r="E190" i="42812"/>
  <c r="D190" i="42812"/>
  <c r="C190" i="42812"/>
  <c r="B190" i="42812"/>
  <c r="K189" i="42812"/>
  <c r="J189" i="42812"/>
  <c r="I189" i="42812"/>
  <c r="H189" i="42812"/>
  <c r="G189" i="42812"/>
  <c r="F189" i="42812"/>
  <c r="E189" i="42812"/>
  <c r="D189" i="42812"/>
  <c r="C189" i="42812"/>
  <c r="B189" i="42812"/>
  <c r="K188" i="42812"/>
  <c r="J188" i="42812"/>
  <c r="I188" i="42812"/>
  <c r="H188" i="42812"/>
  <c r="G188" i="42812"/>
  <c r="F188" i="42812"/>
  <c r="E188" i="42812"/>
  <c r="D188" i="42812"/>
  <c r="C188" i="42812"/>
  <c r="B188" i="42812"/>
  <c r="K187" i="42812"/>
  <c r="J187" i="42812"/>
  <c r="I187" i="42812"/>
  <c r="H187" i="42812"/>
  <c r="G187" i="42812"/>
  <c r="F187" i="42812"/>
  <c r="E187" i="42812"/>
  <c r="D187" i="42812"/>
  <c r="C187" i="42812"/>
  <c r="B187" i="42812"/>
  <c r="K186" i="42812"/>
  <c r="J186" i="42812"/>
  <c r="I186" i="42812"/>
  <c r="H186" i="42812"/>
  <c r="G186" i="42812"/>
  <c r="F186" i="42812"/>
  <c r="E186" i="42812"/>
  <c r="D186" i="42812"/>
  <c r="C186" i="42812"/>
  <c r="B186" i="42812"/>
  <c r="K185" i="42812"/>
  <c r="J185" i="42812"/>
  <c r="I185" i="42812"/>
  <c r="H185" i="42812"/>
  <c r="G185" i="42812"/>
  <c r="F185" i="42812"/>
  <c r="E185" i="42812"/>
  <c r="D185" i="42812"/>
  <c r="C185" i="42812"/>
  <c r="B185" i="42812"/>
  <c r="K184" i="42812"/>
  <c r="J184" i="42812"/>
  <c r="I184" i="42812"/>
  <c r="H184" i="42812"/>
  <c r="G184" i="42812"/>
  <c r="F184" i="42812"/>
  <c r="E184" i="42812"/>
  <c r="D184" i="42812"/>
  <c r="C184" i="42812"/>
  <c r="B184" i="42812"/>
  <c r="K183" i="42812"/>
  <c r="J183" i="42812"/>
  <c r="I183" i="42812"/>
  <c r="H183" i="42812"/>
  <c r="G183" i="42812"/>
  <c r="F183" i="42812"/>
  <c r="E183" i="42812"/>
  <c r="D183" i="42812"/>
  <c r="C183" i="42812"/>
  <c r="B183" i="42812"/>
  <c r="K182" i="42812"/>
  <c r="J182" i="42812"/>
  <c r="I182" i="42812"/>
  <c r="H182" i="42812"/>
  <c r="G182" i="42812"/>
  <c r="F182" i="42812"/>
  <c r="E182" i="42812"/>
  <c r="D182" i="42812"/>
  <c r="C182" i="42812"/>
  <c r="B182" i="42812"/>
  <c r="K181" i="42812"/>
  <c r="J181" i="42812"/>
  <c r="I181" i="42812"/>
  <c r="H181" i="42812"/>
  <c r="G181" i="42812"/>
  <c r="F181" i="42812"/>
  <c r="E181" i="42812"/>
  <c r="C181" i="42812"/>
  <c r="D181" i="42812"/>
  <c r="B181" i="42812"/>
  <c r="K180" i="42812"/>
  <c r="J180" i="42812"/>
  <c r="I180" i="42812"/>
  <c r="H180" i="42812"/>
  <c r="G180" i="42812"/>
  <c r="F180" i="42812"/>
  <c r="E180" i="42812"/>
  <c r="D180" i="42812"/>
  <c r="C180" i="42812"/>
  <c r="B180" i="42812"/>
  <c r="K179" i="42812"/>
  <c r="J179" i="42812"/>
  <c r="I179" i="42812"/>
  <c r="H179" i="42812"/>
  <c r="G179" i="42812"/>
  <c r="F179" i="42812"/>
  <c r="E179" i="42812"/>
  <c r="D179" i="42812"/>
  <c r="C179" i="42812"/>
  <c r="B179" i="42812"/>
  <c r="K178" i="42812"/>
  <c r="J178" i="42812"/>
  <c r="I178" i="42812"/>
  <c r="H178" i="42812"/>
  <c r="G178" i="42812"/>
  <c r="F178" i="42812"/>
  <c r="E178" i="42812"/>
  <c r="D178" i="42812"/>
  <c r="C178" i="42812"/>
  <c r="B178" i="42812"/>
  <c r="K177" i="42812"/>
  <c r="J177" i="42812"/>
  <c r="I177" i="42812"/>
  <c r="H177" i="42812"/>
  <c r="G177" i="42812"/>
  <c r="F177" i="42812"/>
  <c r="E177" i="42812"/>
  <c r="D177" i="42812"/>
  <c r="C177" i="42812"/>
  <c r="B177" i="42812"/>
  <c r="K176" i="42812"/>
  <c r="J176" i="42812"/>
  <c r="I176" i="42812"/>
  <c r="H176" i="42812"/>
  <c r="G176" i="42812"/>
  <c r="F176" i="42812"/>
  <c r="E176" i="42812"/>
  <c r="D176" i="42812"/>
  <c r="C176" i="42812"/>
  <c r="B176" i="42812"/>
  <c r="K175" i="42812"/>
  <c r="J175" i="42812"/>
  <c r="I175" i="42812"/>
  <c r="H175" i="42812"/>
  <c r="G175" i="42812"/>
  <c r="F175" i="42812"/>
  <c r="E175" i="42812"/>
  <c r="D175" i="42812"/>
  <c r="C175" i="42812"/>
  <c r="B175" i="42812"/>
  <c r="K174" i="42812"/>
  <c r="J174" i="42812"/>
  <c r="I174" i="42812"/>
  <c r="H174" i="42812"/>
  <c r="G174" i="42812"/>
  <c r="F174" i="42812"/>
  <c r="E174" i="42812"/>
  <c r="D174" i="42812"/>
  <c r="C174" i="42812"/>
  <c r="B174" i="42812"/>
  <c r="K173" i="42812"/>
  <c r="J173" i="42812"/>
  <c r="I173" i="42812"/>
  <c r="H173" i="42812"/>
  <c r="G173" i="42812"/>
  <c r="F173" i="42812"/>
  <c r="E173" i="42812"/>
  <c r="D173" i="42812"/>
  <c r="C173" i="42812"/>
  <c r="B173" i="42812"/>
  <c r="K172" i="42812"/>
  <c r="J172" i="42812"/>
  <c r="I172" i="42812"/>
  <c r="H172" i="42812"/>
  <c r="G172" i="42812"/>
  <c r="F172" i="42812"/>
  <c r="E172" i="42812"/>
  <c r="D172" i="42812"/>
  <c r="C172" i="42812"/>
  <c r="B172" i="42812"/>
  <c r="K171" i="42812"/>
  <c r="J171" i="42812"/>
  <c r="I171" i="42812"/>
  <c r="H171" i="42812"/>
  <c r="G171" i="42812"/>
  <c r="F171" i="42812"/>
  <c r="E171" i="42812"/>
  <c r="D171" i="42812"/>
  <c r="C171" i="42812"/>
  <c r="B171" i="42812"/>
  <c r="K170" i="42812"/>
  <c r="J170" i="42812"/>
  <c r="I170" i="42812"/>
  <c r="H170" i="42812"/>
  <c r="G170" i="42812"/>
  <c r="F170" i="42812"/>
  <c r="E170" i="42812"/>
  <c r="D170" i="42812"/>
  <c r="C170" i="42812"/>
  <c r="B170" i="42812"/>
  <c r="K169" i="42812"/>
  <c r="J169" i="42812"/>
  <c r="I169" i="42812"/>
  <c r="H169" i="42812"/>
  <c r="G169" i="42812"/>
  <c r="F169" i="42812"/>
  <c r="E169" i="42812"/>
  <c r="D169" i="42812"/>
  <c r="C169" i="42812"/>
  <c r="B169" i="42812"/>
  <c r="K168" i="42812"/>
  <c r="J168" i="42812"/>
  <c r="I168" i="42812"/>
  <c r="H168" i="42812"/>
  <c r="G168" i="42812"/>
  <c r="F168" i="42812"/>
  <c r="E168" i="42812"/>
  <c r="D168" i="42812"/>
  <c r="C168" i="42812"/>
  <c r="B168" i="42812"/>
  <c r="K167" i="42812"/>
  <c r="J167" i="42812"/>
  <c r="I167" i="42812"/>
  <c r="H167" i="42812"/>
  <c r="G167" i="42812"/>
  <c r="F167" i="42812"/>
  <c r="E167" i="42812"/>
  <c r="D167" i="42812"/>
  <c r="C167" i="42812"/>
  <c r="B167" i="42812"/>
  <c r="K166" i="42812"/>
  <c r="J166" i="42812"/>
  <c r="I166" i="42812"/>
  <c r="H166" i="42812"/>
  <c r="G166" i="42812"/>
  <c r="F166" i="42812"/>
  <c r="E166" i="42812"/>
  <c r="D166" i="42812"/>
  <c r="C166" i="42812"/>
  <c r="B166" i="42812"/>
  <c r="K165" i="42812"/>
  <c r="J165" i="42812"/>
  <c r="I165" i="42812"/>
  <c r="H165" i="42812"/>
  <c r="G165" i="42812"/>
  <c r="F165" i="42812"/>
  <c r="E165" i="42812"/>
  <c r="D165" i="42812"/>
  <c r="C165" i="42812"/>
  <c r="B165" i="42812"/>
  <c r="K164" i="42812"/>
  <c r="J164" i="42812"/>
  <c r="I164" i="42812"/>
  <c r="H164" i="42812"/>
  <c r="G164" i="42812"/>
  <c r="F164" i="42812"/>
  <c r="E164" i="42812"/>
  <c r="D164" i="42812"/>
  <c r="C164" i="42812"/>
  <c r="B164" i="42812"/>
  <c r="K163" i="42812"/>
  <c r="J163" i="42812"/>
  <c r="I163" i="42812"/>
  <c r="H163" i="42812"/>
  <c r="G163" i="42812"/>
  <c r="F163" i="42812"/>
  <c r="E163" i="42812"/>
  <c r="D163" i="42812"/>
  <c r="C163" i="42812"/>
  <c r="B163" i="42812"/>
  <c r="K162" i="42812"/>
  <c r="J162" i="42812"/>
  <c r="I162" i="42812"/>
  <c r="H162" i="42812"/>
  <c r="G162" i="42812"/>
  <c r="F162" i="42812"/>
  <c r="E162" i="42812"/>
  <c r="D162" i="42812"/>
  <c r="C162" i="42812"/>
  <c r="B162" i="42812"/>
  <c r="K161" i="42812"/>
  <c r="J161" i="42812"/>
  <c r="I161" i="42812"/>
  <c r="H161" i="42812"/>
  <c r="G161" i="42812"/>
  <c r="F161" i="42812"/>
  <c r="E161" i="42812"/>
  <c r="D161" i="42812"/>
  <c r="C161" i="42812"/>
  <c r="B161" i="42812"/>
  <c r="K160" i="42812"/>
  <c r="J160" i="42812"/>
  <c r="I160" i="42812"/>
  <c r="H160" i="42812"/>
  <c r="G160" i="42812"/>
  <c r="F160" i="42812"/>
  <c r="E160" i="42812"/>
  <c r="D160" i="42812"/>
  <c r="C160" i="42812"/>
  <c r="B160" i="42812"/>
  <c r="K159" i="42812"/>
  <c r="J159" i="42812"/>
  <c r="I159" i="42812"/>
  <c r="H159" i="42812"/>
  <c r="G159" i="42812"/>
  <c r="F159" i="42812"/>
  <c r="E159" i="42812"/>
  <c r="D159" i="42812"/>
  <c r="C159" i="42812"/>
  <c r="B159" i="42812"/>
  <c r="K158" i="42812"/>
  <c r="J158" i="42812"/>
  <c r="I158" i="42812"/>
  <c r="H158" i="42812"/>
  <c r="G158" i="42812"/>
  <c r="F158" i="42812"/>
  <c r="E158" i="42812"/>
  <c r="D158" i="42812"/>
  <c r="C158" i="42812"/>
  <c r="B158" i="42812"/>
  <c r="K157" i="42812"/>
  <c r="J157" i="42812"/>
  <c r="I157" i="42812"/>
  <c r="H157" i="42812"/>
  <c r="G157" i="42812"/>
  <c r="F157" i="42812"/>
  <c r="E157" i="42812"/>
  <c r="D157" i="42812"/>
  <c r="C157" i="42812"/>
  <c r="B157" i="42812"/>
  <c r="K156" i="42812"/>
  <c r="J156" i="42812"/>
  <c r="I156" i="42812"/>
  <c r="H156" i="42812"/>
  <c r="G156" i="42812"/>
  <c r="F156" i="42812"/>
  <c r="E156" i="42812"/>
  <c r="D156" i="42812"/>
  <c r="C156" i="42812"/>
  <c r="B156" i="42812"/>
  <c r="K155" i="42812"/>
  <c r="J155" i="42812"/>
  <c r="I155" i="42812"/>
  <c r="H155" i="42812"/>
  <c r="G155" i="42812"/>
  <c r="F155" i="42812"/>
  <c r="E155" i="42812"/>
  <c r="D155" i="42812"/>
  <c r="C155" i="42812"/>
  <c r="B155" i="42812"/>
  <c r="K154" i="42812"/>
  <c r="J154" i="42812"/>
  <c r="I154" i="42812"/>
  <c r="H154" i="42812"/>
  <c r="G154" i="42812"/>
  <c r="F154" i="42812"/>
  <c r="E154" i="42812"/>
  <c r="D154" i="42812"/>
  <c r="C154" i="42812"/>
  <c r="B154" i="42812"/>
  <c r="K153" i="42812"/>
  <c r="J153" i="42812"/>
  <c r="I153" i="42812"/>
  <c r="H153" i="42812"/>
  <c r="G153" i="42812"/>
  <c r="F153" i="42812"/>
  <c r="E153" i="42812"/>
  <c r="D153" i="42812"/>
  <c r="C153" i="42812"/>
  <c r="B153" i="42812"/>
  <c r="K152" i="42812"/>
  <c r="J152" i="42812"/>
  <c r="I152" i="42812"/>
  <c r="H152" i="42812"/>
  <c r="G152" i="42812"/>
  <c r="F152" i="42812"/>
  <c r="E152" i="42812"/>
  <c r="D152" i="42812"/>
  <c r="C152" i="42812"/>
  <c r="B152" i="42812"/>
  <c r="K151" i="42812"/>
  <c r="J151" i="42812"/>
  <c r="I151" i="42812"/>
  <c r="H151" i="42812"/>
  <c r="G151" i="42812"/>
  <c r="F151" i="42812"/>
  <c r="E151" i="42812"/>
  <c r="D151" i="42812"/>
  <c r="C151" i="42812"/>
  <c r="B151" i="42812"/>
  <c r="K150" i="42812"/>
  <c r="J150" i="42812"/>
  <c r="I150" i="42812"/>
  <c r="H150" i="42812"/>
  <c r="G150" i="42812"/>
  <c r="F150" i="42812"/>
  <c r="E150" i="42812"/>
  <c r="D150" i="42812"/>
  <c r="C150" i="42812"/>
  <c r="B150" i="42812"/>
  <c r="K149" i="42812"/>
  <c r="J149" i="42812"/>
  <c r="I149" i="42812"/>
  <c r="H149" i="42812"/>
  <c r="G149" i="42812"/>
  <c r="F149" i="42812"/>
  <c r="E149" i="42812"/>
  <c r="D149" i="42812"/>
  <c r="C149" i="42812"/>
  <c r="B149" i="42812"/>
  <c r="K148" i="42812"/>
  <c r="J148" i="42812"/>
  <c r="I148" i="42812"/>
  <c r="H148" i="42812"/>
  <c r="G148" i="42812"/>
  <c r="F148" i="42812"/>
  <c r="E148" i="42812"/>
  <c r="D148" i="42812"/>
  <c r="C148" i="42812"/>
  <c r="B148" i="42812"/>
  <c r="K147" i="42812"/>
  <c r="J147" i="42812"/>
  <c r="I147" i="42812"/>
  <c r="H147" i="42812"/>
  <c r="G147" i="42812"/>
  <c r="F147" i="42812"/>
  <c r="E147" i="42812"/>
  <c r="D147" i="42812"/>
  <c r="C147" i="42812"/>
  <c r="B147" i="42812"/>
  <c r="K146" i="42812"/>
  <c r="J146" i="42812"/>
  <c r="I146" i="42812"/>
  <c r="H146" i="42812"/>
  <c r="G146" i="42812"/>
  <c r="F146" i="42812"/>
  <c r="E146" i="42812"/>
  <c r="D146" i="42812"/>
  <c r="C146" i="42812"/>
  <c r="B146" i="42812"/>
  <c r="K145" i="42812"/>
  <c r="J145" i="42812"/>
  <c r="I145" i="42812"/>
  <c r="H145" i="42812"/>
  <c r="G145" i="42812"/>
  <c r="F145" i="42812"/>
  <c r="E145" i="42812"/>
  <c r="D145" i="42812"/>
  <c r="C145" i="42812"/>
  <c r="B145" i="42812"/>
  <c r="K144" i="42812"/>
  <c r="J144" i="42812"/>
  <c r="I144" i="42812"/>
  <c r="H144" i="42812"/>
  <c r="G144" i="42812"/>
  <c r="F144" i="42812"/>
  <c r="E144" i="42812"/>
  <c r="D144" i="42812"/>
  <c r="C144" i="42812"/>
  <c r="B144" i="42812"/>
  <c r="K143" i="42812"/>
  <c r="J143" i="42812"/>
  <c r="I143" i="42812"/>
  <c r="H143" i="42812"/>
  <c r="G143" i="42812"/>
  <c r="F143" i="42812"/>
  <c r="E143" i="42812"/>
  <c r="D143" i="42812"/>
  <c r="C143" i="42812"/>
  <c r="B143" i="42812"/>
  <c r="K142" i="42812"/>
  <c r="J142" i="42812"/>
  <c r="I142" i="42812"/>
  <c r="H142" i="42812"/>
  <c r="G142" i="42812"/>
  <c r="F142" i="42812"/>
  <c r="E142" i="42812"/>
  <c r="D142" i="42812"/>
  <c r="C142" i="42812"/>
  <c r="B142" i="42812"/>
  <c r="K141" i="42812"/>
  <c r="J141" i="42812"/>
  <c r="I141" i="42812"/>
  <c r="H141" i="42812"/>
  <c r="G141" i="42812"/>
  <c r="F141" i="42812"/>
  <c r="E141" i="42812"/>
  <c r="D141" i="42812"/>
  <c r="C141" i="42812"/>
  <c r="B141" i="42812"/>
  <c r="K140" i="42812"/>
  <c r="J140" i="42812"/>
  <c r="I140" i="42812"/>
  <c r="H140" i="42812"/>
  <c r="G140" i="42812"/>
  <c r="F140" i="42812"/>
  <c r="E140" i="42812"/>
  <c r="D140" i="42812"/>
  <c r="C140" i="42812"/>
  <c r="B140" i="42812"/>
  <c r="K139" i="42812"/>
  <c r="J139" i="42812"/>
  <c r="I139" i="42812"/>
  <c r="H139" i="42812"/>
  <c r="G139" i="42812"/>
  <c r="F139" i="42812"/>
  <c r="E139" i="42812"/>
  <c r="D139" i="42812"/>
  <c r="C139" i="42812"/>
  <c r="B139" i="42812"/>
  <c r="K138" i="42812"/>
  <c r="J138" i="42812"/>
  <c r="I138" i="42812"/>
  <c r="H138" i="42812"/>
  <c r="G138" i="42812"/>
  <c r="F138" i="42812"/>
  <c r="E138" i="42812"/>
  <c r="D138" i="42812"/>
  <c r="C138" i="42812"/>
  <c r="B138" i="42812"/>
  <c r="K137" i="42812"/>
  <c r="J137" i="42812"/>
  <c r="I137" i="42812"/>
  <c r="H137" i="42812"/>
  <c r="G137" i="42812"/>
  <c r="F137" i="42812"/>
  <c r="E137" i="42812"/>
  <c r="D137" i="42812"/>
  <c r="C137" i="42812"/>
  <c r="B137" i="42812"/>
  <c r="K136" i="42812"/>
  <c r="J136" i="42812"/>
  <c r="I136" i="42812"/>
  <c r="H136" i="42812"/>
  <c r="G136" i="42812"/>
  <c r="F136" i="42812"/>
  <c r="E136" i="42812"/>
  <c r="D136" i="42812"/>
  <c r="C136" i="42812"/>
  <c r="B136" i="42812"/>
  <c r="K135" i="42812"/>
  <c r="J135" i="42812"/>
  <c r="I135" i="42812"/>
  <c r="H135" i="42812"/>
  <c r="G135" i="42812"/>
  <c r="F135" i="42812"/>
  <c r="E135" i="42812"/>
  <c r="D135" i="42812"/>
  <c r="C135" i="42812"/>
  <c r="B135" i="42812"/>
  <c r="K134" i="42812"/>
  <c r="J134" i="42812"/>
  <c r="I134" i="42812"/>
  <c r="H134" i="42812"/>
  <c r="G134" i="42812"/>
  <c r="F134" i="42812"/>
  <c r="E134" i="42812"/>
  <c r="D134" i="42812"/>
  <c r="C134" i="42812"/>
  <c r="B134" i="42812"/>
  <c r="K133" i="42812"/>
  <c r="J133" i="42812"/>
  <c r="I133" i="42812"/>
  <c r="H133" i="42812"/>
  <c r="G133" i="42812"/>
  <c r="F133" i="42812"/>
  <c r="E133" i="42812"/>
  <c r="D133" i="42812"/>
  <c r="C133" i="42812"/>
  <c r="B133" i="42812"/>
  <c r="K132" i="42812"/>
  <c r="J132" i="42812"/>
  <c r="I132" i="42812"/>
  <c r="H132" i="42812"/>
  <c r="G132" i="42812"/>
  <c r="F132" i="42812"/>
  <c r="E132" i="42812"/>
  <c r="D132" i="42812"/>
  <c r="C132" i="42812"/>
  <c r="B132" i="42812"/>
  <c r="K131" i="42812"/>
  <c r="J131" i="42812"/>
  <c r="I131" i="42812"/>
  <c r="H131" i="42812"/>
  <c r="G131" i="42812"/>
  <c r="F131" i="42812"/>
  <c r="E131" i="42812"/>
  <c r="D131" i="42812"/>
  <c r="C131" i="42812"/>
  <c r="B131" i="42812"/>
  <c r="K130" i="42812"/>
  <c r="J130" i="42812"/>
  <c r="I130" i="42812"/>
  <c r="H130" i="42812"/>
  <c r="G130" i="42812"/>
  <c r="F130" i="42812"/>
  <c r="E130" i="42812"/>
  <c r="D130" i="42812"/>
  <c r="C130" i="42812"/>
  <c r="B130" i="42812"/>
  <c r="K129" i="42812"/>
  <c r="J129" i="42812"/>
  <c r="I129" i="42812"/>
  <c r="H129" i="42812"/>
  <c r="G129" i="42812"/>
  <c r="F129" i="42812"/>
  <c r="E129" i="42812"/>
  <c r="D129" i="42812"/>
  <c r="C129" i="42812"/>
  <c r="B129" i="42812"/>
  <c r="K128" i="42812"/>
  <c r="J128" i="42812"/>
  <c r="I128" i="42812"/>
  <c r="H128" i="42812"/>
  <c r="G128" i="42812"/>
  <c r="F128" i="42812"/>
  <c r="E128" i="42812"/>
  <c r="D128" i="42812"/>
  <c r="C128" i="42812"/>
  <c r="B128" i="42812"/>
  <c r="K127" i="42812"/>
  <c r="J127" i="42812"/>
  <c r="I127" i="42812"/>
  <c r="H127" i="42812"/>
  <c r="G127" i="42812"/>
  <c r="F127" i="42812"/>
  <c r="E127" i="42812"/>
  <c r="D127" i="42812"/>
  <c r="C127" i="42812"/>
  <c r="B127" i="42812"/>
  <c r="K126" i="42812"/>
  <c r="J126" i="42812"/>
  <c r="I126" i="42812"/>
  <c r="H126" i="42812"/>
  <c r="G126" i="42812"/>
  <c r="F126" i="42812"/>
  <c r="E126" i="42812"/>
  <c r="D126" i="42812"/>
  <c r="C126" i="42812"/>
  <c r="B126" i="42812"/>
  <c r="K125" i="42812"/>
  <c r="J125" i="42812"/>
  <c r="I125" i="42812"/>
  <c r="H125" i="42812"/>
  <c r="G125" i="42812"/>
  <c r="F125" i="42812"/>
  <c r="E125" i="42812"/>
  <c r="D125" i="42812"/>
  <c r="C125" i="42812"/>
  <c r="B125" i="42812"/>
  <c r="K124" i="42812"/>
  <c r="J124" i="42812"/>
  <c r="I124" i="42812"/>
  <c r="H124" i="42812"/>
  <c r="G124" i="42812"/>
  <c r="F124" i="42812"/>
  <c r="E124" i="42812"/>
  <c r="D124" i="42812"/>
  <c r="C124" i="42812"/>
  <c r="B124" i="42812"/>
  <c r="K123" i="42812"/>
  <c r="J123" i="42812"/>
  <c r="I123" i="42812"/>
  <c r="H123" i="42812"/>
  <c r="G123" i="42812"/>
  <c r="F123" i="42812"/>
  <c r="E123" i="42812"/>
  <c r="D123" i="42812"/>
  <c r="C123" i="42812"/>
  <c r="B123" i="42812"/>
  <c r="K122" i="42812"/>
  <c r="J122" i="42812"/>
  <c r="I122" i="42812"/>
  <c r="H122" i="42812"/>
  <c r="G122" i="42812"/>
  <c r="F122" i="42812"/>
  <c r="E122" i="42812"/>
  <c r="D122" i="42812"/>
  <c r="C122" i="42812"/>
  <c r="B122" i="42812"/>
  <c r="K121" i="42812"/>
  <c r="J121" i="42812"/>
  <c r="I121" i="42812"/>
  <c r="H121" i="42812"/>
  <c r="G121" i="42812"/>
  <c r="F121" i="42812"/>
  <c r="E121" i="42812"/>
  <c r="D121" i="42812"/>
  <c r="C121" i="42812"/>
  <c r="B121" i="42812"/>
  <c r="B92" i="42812"/>
  <c r="Y9" i="42790" l="1"/>
  <c r="AL118" i="42812"/>
  <c r="AL117" i="42812"/>
  <c r="D72" i="42790"/>
  <c r="C72" i="42790"/>
  <c r="D71" i="42790"/>
  <c r="C71" i="42790"/>
  <c r="D70" i="42790"/>
  <c r="C70" i="42790"/>
  <c r="D69" i="42790"/>
  <c r="C69" i="42790"/>
  <c r="AL120" i="42812" l="1"/>
  <c r="P31" i="42713"/>
  <c r="AN97" i="42812" s="1"/>
  <c r="P30" i="42713"/>
  <c r="AM34" i="42812"/>
  <c r="AL34" i="42812"/>
  <c r="AN34" i="42812" s="1"/>
  <c r="U4" i="42813"/>
  <c r="O5" i="42813"/>
  <c r="K2" i="42813"/>
  <c r="I5" i="42813"/>
  <c r="E5" i="42813"/>
  <c r="U4" i="42814"/>
  <c r="O5" i="42814"/>
  <c r="K2" i="42814"/>
  <c r="I5" i="42814"/>
  <c r="E5" i="42814"/>
  <c r="T4" i="42815"/>
  <c r="O5" i="42815"/>
  <c r="K2" i="42815"/>
  <c r="I5" i="42815"/>
  <c r="E5" i="42815"/>
  <c r="T4" i="42816"/>
  <c r="O5" i="42816"/>
  <c r="K2" i="42816"/>
  <c r="I5" i="42816"/>
  <c r="E5" i="42816"/>
  <c r="T4" i="42817"/>
  <c r="O5" i="42817"/>
  <c r="K2" i="42817"/>
  <c r="I5" i="42817"/>
  <c r="E5" i="42817"/>
  <c r="T4" i="42818"/>
  <c r="O5" i="42818"/>
  <c r="K2" i="42818"/>
  <c r="I5" i="42818"/>
  <c r="E5" i="42818"/>
  <c r="T4" i="42819"/>
  <c r="O5" i="42819"/>
  <c r="K2" i="42819"/>
  <c r="I5" i="42819"/>
  <c r="E5" i="42819"/>
  <c r="T4" i="42820"/>
  <c r="O5" i="42820"/>
  <c r="K2" i="42820"/>
  <c r="I5" i="42820"/>
  <c r="E5" i="42820"/>
  <c r="T4" i="42821"/>
  <c r="O5" i="42821"/>
  <c r="K2" i="42821"/>
  <c r="I5" i="42821"/>
  <c r="E5" i="42821"/>
  <c r="T4" i="42823"/>
  <c r="O5" i="42823"/>
  <c r="K2" i="42823"/>
  <c r="I5" i="42823"/>
  <c r="E5" i="42823"/>
  <c r="T4" i="42824"/>
  <c r="O5" i="42824"/>
  <c r="K2" i="42824"/>
  <c r="I5" i="42824"/>
  <c r="E5" i="42824"/>
  <c r="T4" i="42825"/>
  <c r="O5" i="42825"/>
  <c r="K2" i="42825"/>
  <c r="I5" i="42825"/>
  <c r="E5" i="42825"/>
  <c r="T4" i="42826"/>
  <c r="O5" i="42826"/>
  <c r="K2" i="42826"/>
  <c r="I5" i="42826"/>
  <c r="E5" i="42826"/>
  <c r="T4" i="42827"/>
  <c r="O5" i="42827"/>
  <c r="K2" i="42827"/>
  <c r="I5" i="42827"/>
  <c r="E5" i="42827"/>
  <c r="T4" i="42828"/>
  <c r="O5" i="42828"/>
  <c r="K2" i="42828"/>
  <c r="I5" i="42828"/>
  <c r="E5" i="42828"/>
  <c r="T4" i="42829"/>
  <c r="O5" i="42829"/>
  <c r="K2" i="42829"/>
  <c r="I5" i="42829"/>
  <c r="I5" i="42831"/>
  <c r="E5" i="42829"/>
  <c r="T4" i="42830"/>
  <c r="K2" i="42830"/>
  <c r="I5" i="42830"/>
  <c r="O5" i="42830"/>
  <c r="E5" i="42830"/>
  <c r="O5" i="42831"/>
  <c r="K2" i="42831"/>
  <c r="E5" i="42831"/>
  <c r="T4" i="42832"/>
  <c r="K2" i="42832"/>
  <c r="O5" i="42832"/>
  <c r="I5" i="42832"/>
  <c r="E5" i="42832"/>
  <c r="Y6" i="42832"/>
  <c r="M5" i="42832"/>
  <c r="K5" i="42832"/>
  <c r="U2" i="42832"/>
  <c r="S2" i="42832"/>
  <c r="I2" i="42832"/>
  <c r="Y6" i="42831"/>
  <c r="M5" i="42831"/>
  <c r="K5" i="42831"/>
  <c r="T4" i="42831"/>
  <c r="U2" i="42831"/>
  <c r="S2" i="42831"/>
  <c r="I2" i="42831"/>
  <c r="Y6" i="42830"/>
  <c r="M5" i="42830"/>
  <c r="K5" i="42830"/>
  <c r="U2" i="42830"/>
  <c r="S2" i="42830"/>
  <c r="I2" i="42830"/>
  <c r="Y6" i="42829"/>
  <c r="M5" i="42829"/>
  <c r="K5" i="42829"/>
  <c r="U2" i="42829"/>
  <c r="S2" i="42829"/>
  <c r="I2" i="42829"/>
  <c r="Y6" i="42828"/>
  <c r="M5" i="42828"/>
  <c r="K5" i="42828"/>
  <c r="U2" i="42828"/>
  <c r="S2" i="42828"/>
  <c r="I2" i="42828"/>
  <c r="Y6" i="42827"/>
  <c r="M5" i="42827"/>
  <c r="K5" i="42827"/>
  <c r="U2" i="42827"/>
  <c r="S2" i="42827"/>
  <c r="I2" i="42827"/>
  <c r="Y6" i="42826"/>
  <c r="M5" i="42826"/>
  <c r="K5" i="42826"/>
  <c r="U2" i="42826"/>
  <c r="S2" i="42826"/>
  <c r="I2" i="42826"/>
  <c r="Y6" i="42825"/>
  <c r="M5" i="42825"/>
  <c r="K5" i="42825"/>
  <c r="U2" i="42825"/>
  <c r="S2" i="42825"/>
  <c r="I2" i="42825"/>
  <c r="Y6" i="42824"/>
  <c r="M5" i="42824"/>
  <c r="K5" i="42824"/>
  <c r="U2" i="42824"/>
  <c r="S2" i="42824"/>
  <c r="I2" i="42824"/>
  <c r="Y6" i="42823"/>
  <c r="M5" i="42823"/>
  <c r="K5" i="42823"/>
  <c r="U2" i="42823"/>
  <c r="S2" i="42823"/>
  <c r="I2" i="42823"/>
  <c r="Y6" i="42821"/>
  <c r="M5" i="42821"/>
  <c r="K5" i="42821"/>
  <c r="U2" i="42821"/>
  <c r="S2" i="42821"/>
  <c r="I2" i="42821"/>
  <c r="Y6" i="42820"/>
  <c r="M5" i="42820"/>
  <c r="K5" i="42820"/>
  <c r="U2" i="42820"/>
  <c r="S2" i="42820"/>
  <c r="I2" i="42820"/>
  <c r="Y6" i="42819"/>
  <c r="M5" i="42819"/>
  <c r="K5" i="42819"/>
  <c r="U2" i="42819"/>
  <c r="S2" i="42819"/>
  <c r="I2" i="42819"/>
  <c r="Y6" i="42818"/>
  <c r="M5" i="42818"/>
  <c r="K5" i="42818"/>
  <c r="U2" i="42818"/>
  <c r="S2" i="42818"/>
  <c r="I2" i="42818"/>
  <c r="Y6" i="42817"/>
  <c r="M5" i="42817"/>
  <c r="K5" i="42817"/>
  <c r="U2" i="42817"/>
  <c r="S2" i="42817"/>
  <c r="I2" i="42817"/>
  <c r="Y6" i="42816"/>
  <c r="M5" i="42816"/>
  <c r="K5" i="42816"/>
  <c r="U2" i="42816"/>
  <c r="S2" i="42816"/>
  <c r="I2" i="42816"/>
  <c r="Y6" i="42815"/>
  <c r="M5" i="42815"/>
  <c r="K5" i="42815"/>
  <c r="U2" i="42815"/>
  <c r="S2" i="42815"/>
  <c r="I2" i="42815"/>
  <c r="Z6" i="42814"/>
  <c r="AK34" i="42812" s="1"/>
  <c r="M5" i="42814"/>
  <c r="K5" i="42814"/>
  <c r="V2" i="42814"/>
  <c r="T2" i="42814"/>
  <c r="I2" i="42814"/>
  <c r="Z6" i="42813"/>
  <c r="M5" i="42813"/>
  <c r="K5" i="42813"/>
  <c r="V2" i="42813"/>
  <c r="T2" i="42813"/>
  <c r="I2" i="42813"/>
  <c r="AN118" i="42812" l="1"/>
  <c r="AM97" i="42812"/>
  <c r="AM117" i="42812" s="1"/>
  <c r="AN117" i="42812"/>
  <c r="AK53" i="42812"/>
  <c r="AK52" i="42812"/>
  <c r="AK51" i="42812"/>
  <c r="AK50" i="42812"/>
  <c r="AK49" i="42812"/>
  <c r="AK48" i="42812"/>
  <c r="AK47" i="42812"/>
  <c r="AK46" i="42812"/>
  <c r="AK45" i="42812"/>
  <c r="AK44" i="42812"/>
  <c r="AK43" i="42812"/>
  <c r="AK42" i="42812"/>
  <c r="AK41" i="42812"/>
  <c r="AK40" i="42812"/>
  <c r="AK39" i="42812"/>
  <c r="AK38" i="42812"/>
  <c r="AK37" i="42812"/>
  <c r="AK36" i="42812"/>
  <c r="AK35" i="42812"/>
  <c r="K120" i="42812"/>
  <c r="J120" i="42812"/>
  <c r="I120" i="42812"/>
  <c r="H120" i="42812"/>
  <c r="G120" i="42812"/>
  <c r="F120" i="42812"/>
  <c r="E120" i="42812"/>
  <c r="D120" i="42812"/>
  <c r="C120" i="42812"/>
  <c r="K119" i="42812"/>
  <c r="J119" i="42812"/>
  <c r="I119" i="42812"/>
  <c r="H119" i="42812"/>
  <c r="G119" i="42812"/>
  <c r="F119" i="42812"/>
  <c r="E119" i="42812"/>
  <c r="D119" i="42812"/>
  <c r="C119" i="42812"/>
  <c r="K118" i="42812"/>
  <c r="J118" i="42812"/>
  <c r="I118" i="42812"/>
  <c r="H118" i="42812"/>
  <c r="G118" i="42812"/>
  <c r="F118" i="42812"/>
  <c r="E118" i="42812"/>
  <c r="D118" i="42812"/>
  <c r="C118" i="42812"/>
  <c r="K117" i="42812"/>
  <c r="J117" i="42812"/>
  <c r="I117" i="42812"/>
  <c r="H117" i="42812"/>
  <c r="G117" i="42812"/>
  <c r="F117" i="42812"/>
  <c r="E117" i="42812"/>
  <c r="D117" i="42812"/>
  <c r="C117" i="42812"/>
  <c r="B120" i="42812"/>
  <c r="B119" i="42812"/>
  <c r="B118" i="42812"/>
  <c r="B117" i="42812"/>
  <c r="AM118" i="42812" l="1"/>
  <c r="AM120" i="42812" s="1"/>
  <c r="K69" i="42790" s="1"/>
  <c r="AN120" i="42812"/>
  <c r="K70" i="42790" s="1"/>
  <c r="Z6" i="42713" l="1"/>
  <c r="U4" i="42713"/>
  <c r="V2" i="42713"/>
  <c r="T2" i="42713"/>
  <c r="N38" i="42713"/>
  <c r="K116" i="42812"/>
  <c r="J116" i="42812"/>
  <c r="I116" i="42812"/>
  <c r="H116" i="42812"/>
  <c r="G116" i="42812"/>
  <c r="F116" i="42812"/>
  <c r="E116" i="42812"/>
  <c r="D116" i="42812"/>
  <c r="C116" i="42812"/>
  <c r="B116" i="42812"/>
  <c r="K115" i="42812"/>
  <c r="J115" i="42812"/>
  <c r="I115" i="42812"/>
  <c r="H115" i="42812"/>
  <c r="G115" i="42812"/>
  <c r="F115" i="42812"/>
  <c r="E115" i="42812"/>
  <c r="D115" i="42812"/>
  <c r="C115" i="42812"/>
  <c r="B115" i="42812"/>
  <c r="K114" i="42812"/>
  <c r="J114" i="42812"/>
  <c r="I114" i="42812"/>
  <c r="H114" i="42812"/>
  <c r="G114" i="42812"/>
  <c r="F114" i="42812"/>
  <c r="E114" i="42812"/>
  <c r="D114" i="42812"/>
  <c r="C114" i="42812"/>
  <c r="B114" i="42812"/>
  <c r="K113" i="42812"/>
  <c r="J113" i="42812"/>
  <c r="I113" i="42812"/>
  <c r="H113" i="42812"/>
  <c r="G113" i="42812"/>
  <c r="F113" i="42812"/>
  <c r="E113" i="42812"/>
  <c r="D113" i="42812"/>
  <c r="C113" i="42812"/>
  <c r="B113" i="42812"/>
  <c r="K112" i="42812"/>
  <c r="J112" i="42812"/>
  <c r="I112" i="42812"/>
  <c r="H112" i="42812"/>
  <c r="G112" i="42812"/>
  <c r="F112" i="42812"/>
  <c r="E112" i="42812"/>
  <c r="D112" i="42812"/>
  <c r="C112" i="42812"/>
  <c r="B112" i="42812"/>
  <c r="K111" i="42812"/>
  <c r="J111" i="42812"/>
  <c r="I111" i="42812"/>
  <c r="H111" i="42812"/>
  <c r="G111" i="42812"/>
  <c r="F111" i="42812"/>
  <c r="E111" i="42812"/>
  <c r="D111" i="42812"/>
  <c r="C111" i="42812"/>
  <c r="B111" i="42812"/>
  <c r="K110" i="42812"/>
  <c r="J110" i="42812"/>
  <c r="I110" i="42812"/>
  <c r="H110" i="42812"/>
  <c r="G110" i="42812"/>
  <c r="F110" i="42812"/>
  <c r="E110" i="42812"/>
  <c r="D110" i="42812"/>
  <c r="C110" i="42812"/>
  <c r="B110" i="42812"/>
  <c r="K109" i="42812"/>
  <c r="J109" i="42812"/>
  <c r="I109" i="42812"/>
  <c r="H109" i="42812"/>
  <c r="G109" i="42812"/>
  <c r="F109" i="42812"/>
  <c r="E109" i="42812"/>
  <c r="D109" i="42812"/>
  <c r="C109" i="42812"/>
  <c r="B109" i="42812"/>
  <c r="K108" i="42812"/>
  <c r="J108" i="42812"/>
  <c r="I108" i="42812"/>
  <c r="H108" i="42812"/>
  <c r="G108" i="42812"/>
  <c r="F108" i="42812"/>
  <c r="E108" i="42812"/>
  <c r="D108" i="42812"/>
  <c r="C108" i="42812"/>
  <c r="B108" i="42812"/>
  <c r="K107" i="42812"/>
  <c r="J107" i="42812"/>
  <c r="I107" i="42812"/>
  <c r="H107" i="42812"/>
  <c r="G107" i="42812"/>
  <c r="F107" i="42812"/>
  <c r="E107" i="42812"/>
  <c r="D107" i="42812"/>
  <c r="C107" i="42812"/>
  <c r="B107" i="42812"/>
  <c r="K106" i="42812"/>
  <c r="J106" i="42812"/>
  <c r="I106" i="42812"/>
  <c r="H106" i="42812"/>
  <c r="G106" i="42812"/>
  <c r="F106" i="42812"/>
  <c r="E106" i="42812"/>
  <c r="D106" i="42812"/>
  <c r="C106" i="42812"/>
  <c r="B106" i="42812"/>
  <c r="K105" i="42812"/>
  <c r="J105" i="42812"/>
  <c r="I105" i="42812"/>
  <c r="H105" i="42812"/>
  <c r="G105" i="42812"/>
  <c r="F105" i="42812"/>
  <c r="E105" i="42812"/>
  <c r="D105" i="42812"/>
  <c r="C105" i="42812"/>
  <c r="B105" i="42812"/>
  <c r="K104" i="42812"/>
  <c r="J104" i="42812"/>
  <c r="I104" i="42812"/>
  <c r="H104" i="42812"/>
  <c r="G104" i="42812"/>
  <c r="F104" i="42812"/>
  <c r="E104" i="42812"/>
  <c r="D104" i="42812"/>
  <c r="C104" i="42812"/>
  <c r="B104" i="42812"/>
  <c r="K103" i="42812"/>
  <c r="J103" i="42812"/>
  <c r="I103" i="42812"/>
  <c r="H103" i="42812"/>
  <c r="G103" i="42812"/>
  <c r="F103" i="42812"/>
  <c r="E103" i="42812"/>
  <c r="D103" i="42812"/>
  <c r="C103" i="42812"/>
  <c r="B103" i="42812"/>
  <c r="K102" i="42812"/>
  <c r="J102" i="42812"/>
  <c r="I102" i="42812"/>
  <c r="H102" i="42812"/>
  <c r="G102" i="42812"/>
  <c r="F102" i="42812"/>
  <c r="E102" i="42812"/>
  <c r="D102" i="42812"/>
  <c r="C102" i="42812"/>
  <c r="B102" i="42812"/>
  <c r="K101" i="42812"/>
  <c r="J101" i="42812"/>
  <c r="I101" i="42812"/>
  <c r="H101" i="42812"/>
  <c r="G101" i="42812"/>
  <c r="F101" i="42812"/>
  <c r="E101" i="42812"/>
  <c r="D101" i="42812"/>
  <c r="C101" i="42812"/>
  <c r="B101" i="42812"/>
  <c r="K100" i="42812"/>
  <c r="J100" i="42812"/>
  <c r="I100" i="42812"/>
  <c r="H100" i="42812"/>
  <c r="G100" i="42812"/>
  <c r="F100" i="42812"/>
  <c r="E100" i="42812"/>
  <c r="D100" i="42812"/>
  <c r="C100" i="42812"/>
  <c r="B100" i="42812"/>
  <c r="K99" i="42812"/>
  <c r="J99" i="42812"/>
  <c r="I99" i="42812"/>
  <c r="H99" i="42812"/>
  <c r="G99" i="42812"/>
  <c r="F99" i="42812"/>
  <c r="E99" i="42812"/>
  <c r="D99" i="42812"/>
  <c r="C99" i="42812"/>
  <c r="B99" i="42812"/>
  <c r="K98" i="42812"/>
  <c r="J98" i="42812"/>
  <c r="I98" i="42812"/>
  <c r="H98" i="42812"/>
  <c r="G98" i="42812"/>
  <c r="F98" i="42812"/>
  <c r="E98" i="42812"/>
  <c r="D98" i="42812"/>
  <c r="C98" i="42812"/>
  <c r="B98" i="42812"/>
  <c r="K97" i="42812"/>
  <c r="J97" i="42812"/>
  <c r="I97" i="42812"/>
  <c r="H97" i="42812"/>
  <c r="G97" i="42812"/>
  <c r="F97" i="42812"/>
  <c r="E97" i="42812"/>
  <c r="D97" i="42812"/>
  <c r="C97" i="42812"/>
  <c r="B97" i="42812"/>
  <c r="K96" i="42812"/>
  <c r="J96" i="42812"/>
  <c r="I96" i="42812"/>
  <c r="H96" i="42812"/>
  <c r="G96" i="42812"/>
  <c r="F96" i="42812"/>
  <c r="E96" i="42812"/>
  <c r="D96" i="42812"/>
  <c r="C96" i="42812"/>
  <c r="B96" i="42812"/>
  <c r="K95" i="42812"/>
  <c r="J95" i="42812"/>
  <c r="I95" i="42812"/>
  <c r="H95" i="42812"/>
  <c r="G95" i="42812"/>
  <c r="F95" i="42812"/>
  <c r="E95" i="42812"/>
  <c r="D95" i="42812"/>
  <c r="C95" i="42812"/>
  <c r="B95" i="42812"/>
  <c r="K94" i="42812"/>
  <c r="J94" i="42812"/>
  <c r="I94" i="42812"/>
  <c r="H94" i="42812"/>
  <c r="G94" i="42812"/>
  <c r="F94" i="42812"/>
  <c r="E94" i="42812"/>
  <c r="D94" i="42812"/>
  <c r="C94" i="42812"/>
  <c r="B94" i="42812"/>
  <c r="K93" i="42812"/>
  <c r="J93" i="42812"/>
  <c r="I93" i="42812"/>
  <c r="H93" i="42812"/>
  <c r="G93" i="42812"/>
  <c r="F93" i="42812"/>
  <c r="E93" i="42812"/>
  <c r="D93" i="42812"/>
  <c r="C93" i="42812"/>
  <c r="B93" i="42812"/>
  <c r="K92" i="42812"/>
  <c r="J92" i="42812"/>
  <c r="I92" i="42812"/>
  <c r="H92" i="42812"/>
  <c r="G92" i="42812"/>
  <c r="F92" i="42812"/>
  <c r="E92" i="42812"/>
  <c r="D92" i="42812"/>
  <c r="C92" i="42812"/>
  <c r="P10" i="42713"/>
  <c r="P33" i="42713" l="1"/>
  <c r="AP97" i="42812" s="1"/>
  <c r="P32" i="42713"/>
  <c r="AY40" i="42812"/>
  <c r="AY39" i="42812"/>
  <c r="Y53" i="42812"/>
  <c r="Y52" i="42812"/>
  <c r="Y51" i="42812"/>
  <c r="AX51" i="42812" s="1"/>
  <c r="Y50" i="42812"/>
  <c r="AX50" i="42812" s="1"/>
  <c r="Y49" i="42812"/>
  <c r="AX49" i="42812" s="1"/>
  <c r="Y48" i="42812"/>
  <c r="AX48" i="42812" s="1"/>
  <c r="Y47" i="42812"/>
  <c r="Y46" i="42812"/>
  <c r="AX46" i="42812" s="1"/>
  <c r="Y45" i="42812"/>
  <c r="AX45" i="42812" s="1"/>
  <c r="Y44" i="42812"/>
  <c r="Y43" i="42812"/>
  <c r="Y42" i="42812"/>
  <c r="AX42" i="42812" s="1"/>
  <c r="Y41" i="42812"/>
  <c r="Y40" i="42812"/>
  <c r="Y39" i="42812"/>
  <c r="Y38" i="42812"/>
  <c r="Y37" i="42812"/>
  <c r="Y36" i="42812"/>
  <c r="Y35" i="42812"/>
  <c r="AX41" i="42812"/>
  <c r="AW47" i="42812"/>
  <c r="AW46" i="42812"/>
  <c r="AW45" i="42812"/>
  <c r="AU53" i="42812"/>
  <c r="AU52" i="42812"/>
  <c r="AU51" i="42812"/>
  <c r="AU40" i="42812"/>
  <c r="AU39" i="42812"/>
  <c r="AT42" i="42812"/>
  <c r="E36" i="42812"/>
  <c r="E35" i="42812"/>
  <c r="D96" i="42790"/>
  <c r="D97" i="42790"/>
  <c r="D98" i="42790"/>
  <c r="D99" i="42790"/>
  <c r="D101" i="42790"/>
  <c r="BL116" i="42812"/>
  <c r="BL115" i="42812"/>
  <c r="BL114" i="42812"/>
  <c r="BL113" i="42812"/>
  <c r="BL112" i="42812"/>
  <c r="BL111" i="42812"/>
  <c r="BL110" i="42812"/>
  <c r="BL109" i="42812"/>
  <c r="BL108" i="42812"/>
  <c r="BL107" i="42812"/>
  <c r="BL106" i="42812"/>
  <c r="BL105" i="42812"/>
  <c r="BL104" i="42812"/>
  <c r="BL103" i="42812"/>
  <c r="BL102" i="42812"/>
  <c r="BL101" i="42812"/>
  <c r="BL100" i="42812"/>
  <c r="BL99" i="42812"/>
  <c r="C94" i="42790"/>
  <c r="D94" i="42790"/>
  <c r="D93" i="42790"/>
  <c r="D92" i="42790"/>
  <c r="D91" i="42790"/>
  <c r="D90" i="42790"/>
  <c r="D89" i="42790"/>
  <c r="M34" i="42812" l="1"/>
  <c r="M55" i="42812" s="1"/>
  <c r="AW49" i="42812"/>
  <c r="AX47" i="42812"/>
  <c r="AU45" i="42812"/>
  <c r="AY44" i="42812"/>
  <c r="AX43" i="42812"/>
  <c r="AU43" i="42812"/>
  <c r="AY42" i="42812"/>
  <c r="AU41" i="42812"/>
  <c r="L40" i="42812"/>
  <c r="AV53" i="42812"/>
  <c r="AV52" i="42812"/>
  <c r="AV51" i="42812"/>
  <c r="AV50" i="42812"/>
  <c r="AV49" i="42812"/>
  <c r="AV48" i="42812"/>
  <c r="AV47" i="42812"/>
  <c r="AV43" i="42812"/>
  <c r="AV37" i="42812"/>
  <c r="AV36" i="42812"/>
  <c r="AO97" i="42812"/>
  <c r="K34" i="42812"/>
  <c r="K55" i="42812" s="1"/>
  <c r="AP118" i="42812"/>
  <c r="AP117" i="42812"/>
  <c r="AX35" i="42812"/>
  <c r="AU35" i="42812"/>
  <c r="AY41" i="42812"/>
  <c r="AV41" i="42812"/>
  <c r="AU36" i="42812"/>
  <c r="AY53" i="42812"/>
  <c r="AU37" i="42812"/>
  <c r="AW48" i="42812"/>
  <c r="AX44" i="42812"/>
  <c r="AY38" i="42812"/>
  <c r="AV46" i="42812"/>
  <c r="AY45" i="42812"/>
  <c r="AT35" i="42812"/>
  <c r="AT51" i="42812"/>
  <c r="AY52" i="42812"/>
  <c r="AY35" i="42812"/>
  <c r="AY36" i="42812"/>
  <c r="AW35" i="42812"/>
  <c r="AW36" i="42812"/>
  <c r="AY51" i="42812"/>
  <c r="AU42" i="42812"/>
  <c r="AV42" i="42812"/>
  <c r="AV44" i="42812"/>
  <c r="AV45" i="42812"/>
  <c r="J40" i="42812"/>
  <c r="AY37" i="42812"/>
  <c r="AU38" i="42812"/>
  <c r="AW51" i="42812"/>
  <c r="AT49" i="42812"/>
  <c r="AW37" i="42812"/>
  <c r="AY43" i="42812"/>
  <c r="AV35" i="42812"/>
  <c r="AT50" i="42812"/>
  <c r="AU44" i="42812"/>
  <c r="AW38" i="42812"/>
  <c r="J39" i="42812"/>
  <c r="AT36" i="42812"/>
  <c r="AT52" i="42812"/>
  <c r="AU46" i="42812"/>
  <c r="AW40" i="42812"/>
  <c r="AX36" i="42812"/>
  <c r="AX52" i="42812"/>
  <c r="AT53" i="42812"/>
  <c r="AW41" i="42812"/>
  <c r="AX37" i="42812"/>
  <c r="AX53" i="42812"/>
  <c r="AT37" i="42812"/>
  <c r="H44" i="42812"/>
  <c r="AT44" i="42812"/>
  <c r="H45" i="42812"/>
  <c r="AT45" i="42812"/>
  <c r="J46" i="42812"/>
  <c r="AT46" i="42812"/>
  <c r="AW50" i="42812"/>
  <c r="J47" i="42812"/>
  <c r="AT47" i="42812"/>
  <c r="H48" i="42812"/>
  <c r="AT48" i="42812"/>
  <c r="AW39" i="42812"/>
  <c r="AY46" i="42812"/>
  <c r="J50" i="42812"/>
  <c r="R47" i="42812"/>
  <c r="AU47" i="42812"/>
  <c r="AY47" i="42812"/>
  <c r="AT38" i="42812"/>
  <c r="AU48" i="42812"/>
  <c r="AW42" i="42812"/>
  <c r="AX38" i="42812"/>
  <c r="AY48" i="42812"/>
  <c r="AV38" i="42812"/>
  <c r="H41" i="42812"/>
  <c r="AT41" i="42812"/>
  <c r="H43" i="42812"/>
  <c r="AT43" i="42812"/>
  <c r="AT39" i="42812"/>
  <c r="AU49" i="42812"/>
  <c r="AW43" i="42812"/>
  <c r="AX39" i="42812"/>
  <c r="AY49" i="42812"/>
  <c r="AV39" i="42812"/>
  <c r="AT40" i="42812"/>
  <c r="AU50" i="42812"/>
  <c r="AW44" i="42812"/>
  <c r="AX40" i="42812"/>
  <c r="AY50" i="42812"/>
  <c r="AV40" i="42812"/>
  <c r="H49" i="42812"/>
  <c r="N36" i="42812"/>
  <c r="N37" i="42812"/>
  <c r="L42" i="42812"/>
  <c r="N43" i="42812"/>
  <c r="J41" i="42812"/>
  <c r="H50" i="42812"/>
  <c r="L48" i="42812"/>
  <c r="N49" i="42812"/>
  <c r="L50" i="42812"/>
  <c r="N51" i="42812"/>
  <c r="J36" i="42812"/>
  <c r="L52" i="42812"/>
  <c r="H40" i="42812"/>
  <c r="J53" i="42812"/>
  <c r="N53" i="42812"/>
  <c r="H53" i="42812"/>
  <c r="P48" i="42812"/>
  <c r="L41" i="42812"/>
  <c r="H39" i="42812"/>
  <c r="Z37" i="42812"/>
  <c r="J35" i="42812"/>
  <c r="N35" i="42812"/>
  <c r="P49" i="42812"/>
  <c r="P50" i="42812"/>
  <c r="L36" i="42812"/>
  <c r="X35" i="42812"/>
  <c r="X51" i="42812"/>
  <c r="N52" i="42812"/>
  <c r="AB46" i="42812"/>
  <c r="R38" i="42812"/>
  <c r="T35" i="42812"/>
  <c r="P42" i="42812"/>
  <c r="V44" i="42812"/>
  <c r="P43" i="42812"/>
  <c r="AB43" i="42812"/>
  <c r="T38" i="42812"/>
  <c r="T41" i="42812"/>
  <c r="AB49" i="42812"/>
  <c r="P35" i="42812"/>
  <c r="AB37" i="42812"/>
  <c r="V37" i="42812"/>
  <c r="AD41" i="42812"/>
  <c r="N48" i="42812"/>
  <c r="Z39" i="42812"/>
  <c r="T49" i="42812"/>
  <c r="X45" i="42812"/>
  <c r="R53" i="42812"/>
  <c r="X50" i="42812"/>
  <c r="AB35" i="42812"/>
  <c r="P40" i="42812"/>
  <c r="AB36" i="42812"/>
  <c r="T37" i="42812"/>
  <c r="AB38" i="42812"/>
  <c r="T36" i="42812"/>
  <c r="AB41" i="42812"/>
  <c r="P46" i="42812"/>
  <c r="Z47" i="42812"/>
  <c r="L37" i="42812"/>
  <c r="L53" i="42812"/>
  <c r="AH48" i="42812"/>
  <c r="AH49" i="42812"/>
  <c r="P52" i="42812"/>
  <c r="L46" i="42812"/>
  <c r="P39" i="42812"/>
  <c r="AH44" i="42812"/>
  <c r="AH47" i="42812"/>
  <c r="L43" i="42812"/>
  <c r="R35" i="42812"/>
  <c r="AD49" i="42812"/>
  <c r="L44" i="42812"/>
  <c r="L45" i="42812"/>
  <c r="L39" i="42812"/>
  <c r="L38" i="42812"/>
  <c r="L51" i="42812"/>
  <c r="L35" i="42812"/>
  <c r="L47" i="42812"/>
  <c r="L49" i="42812"/>
  <c r="N42" i="42812"/>
  <c r="N50" i="42812"/>
  <c r="N41" i="42812"/>
  <c r="N44" i="42812"/>
  <c r="N45" i="42812"/>
  <c r="N40" i="42812"/>
  <c r="N38" i="42812"/>
  <c r="N46" i="42812"/>
  <c r="N39" i="42812"/>
  <c r="N47" i="42812"/>
  <c r="AH36" i="42812"/>
  <c r="H36" i="42812"/>
  <c r="H35" i="42812"/>
  <c r="J37" i="42812"/>
  <c r="H46" i="42812"/>
  <c r="H42" i="42812"/>
  <c r="AD37" i="42812"/>
  <c r="Z42" i="42812"/>
  <c r="H47" i="42812"/>
  <c r="J43" i="42812"/>
  <c r="AD35" i="42812"/>
  <c r="J44" i="42812"/>
  <c r="AH37" i="42812"/>
  <c r="J45" i="42812"/>
  <c r="Z35" i="42812"/>
  <c r="AD44" i="42812"/>
  <c r="AH40" i="42812"/>
  <c r="R43" i="42812"/>
  <c r="AH46" i="42812"/>
  <c r="X39" i="42812"/>
  <c r="AH41" i="42812"/>
  <c r="V45" i="42812"/>
  <c r="AD42" i="42812"/>
  <c r="AB47" i="42812"/>
  <c r="J48" i="42812"/>
  <c r="V43" i="42812"/>
  <c r="X42" i="42812"/>
  <c r="AH35" i="42812"/>
  <c r="R40" i="42812"/>
  <c r="X47" i="42812"/>
  <c r="X48" i="42812"/>
  <c r="AD43" i="42812"/>
  <c r="R42" i="42812"/>
  <c r="P44" i="42812"/>
  <c r="R41" i="42812"/>
  <c r="T43" i="42812"/>
  <c r="Z46" i="42812"/>
  <c r="AB44" i="42812"/>
  <c r="AH45" i="42812"/>
  <c r="AH50" i="42812"/>
  <c r="P45" i="42812"/>
  <c r="H51" i="42812"/>
  <c r="P53" i="42812"/>
  <c r="AD48" i="42812"/>
  <c r="AH42" i="42812"/>
  <c r="H52" i="42812"/>
  <c r="J49" i="42812"/>
  <c r="X36" i="42812"/>
  <c r="J42" i="42812"/>
  <c r="H37" i="42812"/>
  <c r="Z53" i="42812"/>
  <c r="AB50" i="42812"/>
  <c r="AH38" i="42812"/>
  <c r="P47" i="42812"/>
  <c r="H38" i="42812"/>
  <c r="J51" i="42812"/>
  <c r="X38" i="42812"/>
  <c r="AB39" i="42812"/>
  <c r="AD51" i="42812"/>
  <c r="AB45" i="42812"/>
  <c r="J52" i="42812"/>
  <c r="T42" i="42812"/>
  <c r="T39" i="42812"/>
  <c r="X37" i="42812"/>
  <c r="AB40" i="42812"/>
  <c r="AH43" i="42812"/>
  <c r="AH51" i="42812"/>
  <c r="V40" i="42812"/>
  <c r="X43" i="42812"/>
  <c r="Z40" i="42812"/>
  <c r="AD53" i="42812"/>
  <c r="AH39" i="42812"/>
  <c r="J38" i="42812"/>
  <c r="P36" i="42812"/>
  <c r="X44" i="42812"/>
  <c r="X41" i="42812"/>
  <c r="AB53" i="42812"/>
  <c r="AB52" i="42812"/>
  <c r="AB51" i="42812"/>
  <c r="AD50" i="42812"/>
  <c r="AB48" i="42812"/>
  <c r="AD47" i="42812"/>
  <c r="AD45" i="42812"/>
  <c r="AB42" i="42812"/>
  <c r="AD52" i="42812"/>
  <c r="AD46" i="42812"/>
  <c r="AD40" i="42812"/>
  <c r="AD39" i="42812"/>
  <c r="AD38" i="42812"/>
  <c r="AD36" i="42812"/>
  <c r="X53" i="42812"/>
  <c r="X52" i="42812"/>
  <c r="X49" i="42812"/>
  <c r="X46" i="42812"/>
  <c r="X40" i="42812"/>
  <c r="Z38" i="42812"/>
  <c r="Z36" i="42812"/>
  <c r="Z52" i="42812"/>
  <c r="Z51" i="42812"/>
  <c r="Z50" i="42812"/>
  <c r="Z49" i="42812"/>
  <c r="Z48" i="42812"/>
  <c r="Z45" i="42812"/>
  <c r="Z44" i="42812"/>
  <c r="Z43" i="42812"/>
  <c r="Z41" i="42812"/>
  <c r="T51" i="42812"/>
  <c r="T50" i="42812"/>
  <c r="T48" i="42812"/>
  <c r="T47" i="42812"/>
  <c r="T46" i="42812"/>
  <c r="T45" i="42812"/>
  <c r="T44" i="42812"/>
  <c r="T40" i="42812"/>
  <c r="V39" i="42812"/>
  <c r="V51" i="42812"/>
  <c r="V50" i="42812"/>
  <c r="V49" i="42812"/>
  <c r="V48" i="42812"/>
  <c r="V47" i="42812"/>
  <c r="V46" i="42812"/>
  <c r="V42" i="42812"/>
  <c r="V41" i="42812"/>
  <c r="V38" i="42812"/>
  <c r="V36" i="42812"/>
  <c r="V35" i="42812"/>
  <c r="P51" i="42812"/>
  <c r="P41" i="42812"/>
  <c r="P38" i="42812"/>
  <c r="P37" i="42812"/>
  <c r="R36" i="42812"/>
  <c r="R52" i="42812"/>
  <c r="R51" i="42812"/>
  <c r="R50" i="42812"/>
  <c r="R49" i="42812"/>
  <c r="R48" i="42812"/>
  <c r="R46" i="42812"/>
  <c r="R45" i="42812"/>
  <c r="R44" i="42812"/>
  <c r="R39" i="42812"/>
  <c r="R37" i="42812"/>
  <c r="AP120" i="42812" l="1"/>
  <c r="K72" i="42790" s="1"/>
  <c r="AV34" i="42812"/>
  <c r="AV55" i="42812" s="1"/>
  <c r="AO118" i="42812"/>
  <c r="AO117" i="42812"/>
  <c r="N34" i="42812"/>
  <c r="L34" i="42812"/>
  <c r="AS53" i="42812"/>
  <c r="AS52" i="42812"/>
  <c r="AS51" i="42812"/>
  <c r="AS50" i="42812"/>
  <c r="AS49" i="42812"/>
  <c r="AS48" i="42812"/>
  <c r="AS47" i="42812"/>
  <c r="AS46" i="42812"/>
  <c r="AS45" i="42812"/>
  <c r="AS44" i="42812"/>
  <c r="AS43" i="42812"/>
  <c r="AS42" i="42812"/>
  <c r="AS41" i="42812"/>
  <c r="AS40" i="42812"/>
  <c r="AS39" i="42812"/>
  <c r="AS38" i="42812"/>
  <c r="AS37" i="42812"/>
  <c r="AS36" i="42812"/>
  <c r="B53" i="42812"/>
  <c r="B52" i="42812"/>
  <c r="B51" i="42812"/>
  <c r="B50" i="42812"/>
  <c r="B49" i="42812"/>
  <c r="B48" i="42812"/>
  <c r="B47" i="42812"/>
  <c r="B46" i="42812"/>
  <c r="B45" i="42812"/>
  <c r="B44" i="42812"/>
  <c r="B43" i="42812"/>
  <c r="B42" i="42812"/>
  <c r="B41" i="42812"/>
  <c r="B40" i="42812"/>
  <c r="B39" i="42812"/>
  <c r="B38" i="42812"/>
  <c r="B37" i="42812"/>
  <c r="B36" i="42812"/>
  <c r="B35" i="42812"/>
  <c r="B34" i="42812"/>
  <c r="T97" i="42812"/>
  <c r="B66" i="42812" s="1"/>
  <c r="P68" i="42713"/>
  <c r="P60" i="42713"/>
  <c r="BL97" i="42812" s="1"/>
  <c r="AO120" i="42812" l="1"/>
  <c r="K71" i="42790" s="1"/>
  <c r="F48" i="42812"/>
  <c r="AF48" i="42812"/>
  <c r="AE48" i="42812"/>
  <c r="D48" i="42812"/>
  <c r="AE50" i="42812"/>
  <c r="AF50" i="42812"/>
  <c r="F50" i="42812"/>
  <c r="D50" i="42812"/>
  <c r="AF52" i="42812"/>
  <c r="F52" i="42812"/>
  <c r="D52" i="42812"/>
  <c r="AF53" i="42812"/>
  <c r="F53" i="42812"/>
  <c r="D53" i="42812"/>
  <c r="F38" i="42812"/>
  <c r="AF38" i="42812"/>
  <c r="AE38" i="42812"/>
  <c r="D38" i="42812"/>
  <c r="AF36" i="42812"/>
  <c r="AE36" i="42812"/>
  <c r="D36" i="42812"/>
  <c r="F36" i="42812"/>
  <c r="AE37" i="42812"/>
  <c r="AF37" i="42812"/>
  <c r="D37" i="42812"/>
  <c r="F37" i="42812"/>
  <c r="F39" i="42812"/>
  <c r="AF39" i="42812"/>
  <c r="AE39" i="42812"/>
  <c r="D39" i="42812"/>
  <c r="AE47" i="42812"/>
  <c r="F47" i="42812"/>
  <c r="AF47" i="42812"/>
  <c r="D47" i="42812"/>
  <c r="AF51" i="42812"/>
  <c r="AE51" i="42812"/>
  <c r="D51" i="42812"/>
  <c r="F51" i="42812"/>
  <c r="AE40" i="42812"/>
  <c r="AF40" i="42812"/>
  <c r="D40" i="42812"/>
  <c r="F40" i="42812"/>
  <c r="AE42" i="42812"/>
  <c r="AF42" i="42812"/>
  <c r="F42" i="42812"/>
  <c r="D42" i="42812"/>
  <c r="AF43" i="42812"/>
  <c r="AE43" i="42812"/>
  <c r="F43" i="42812"/>
  <c r="D43" i="42812"/>
  <c r="AF44" i="42812"/>
  <c r="AE44" i="42812"/>
  <c r="F44" i="42812"/>
  <c r="D44" i="42812"/>
  <c r="AF46" i="42812"/>
  <c r="AE46" i="42812"/>
  <c r="F46" i="42812"/>
  <c r="D46" i="42812"/>
  <c r="AF49" i="42812"/>
  <c r="AE49" i="42812"/>
  <c r="F49" i="42812"/>
  <c r="D49" i="42812"/>
  <c r="AF41" i="42812"/>
  <c r="AE41" i="42812"/>
  <c r="D41" i="42812"/>
  <c r="F41" i="42812"/>
  <c r="AE45" i="42812"/>
  <c r="F45" i="42812"/>
  <c r="AF45" i="42812"/>
  <c r="D45" i="42812"/>
  <c r="M5" i="42713"/>
  <c r="K5" i="42713"/>
  <c r="P10" i="42836"/>
  <c r="P12" i="42836" s="1"/>
  <c r="O10" i="42836"/>
  <c r="O12" i="42836" s="1"/>
  <c r="N10" i="42836"/>
  <c r="R9" i="42836" a="1"/>
  <c r="R9" i="42836" s="1"/>
  <c r="Q9" i="42836"/>
  <c r="R8" i="42836" a="1"/>
  <c r="R8" i="42836" s="1"/>
  <c r="Q8" i="42836"/>
  <c r="R7" i="42836" a="1"/>
  <c r="R7" i="42836" s="1"/>
  <c r="Q7" i="42836"/>
  <c r="E3" i="42835"/>
  <c r="L2" i="42835"/>
  <c r="E5" i="42835"/>
  <c r="E4" i="42835"/>
  <c r="E2" i="42835"/>
  <c r="N18" i="42835"/>
  <c r="N20" i="42835" s="1"/>
  <c r="M18" i="42835"/>
  <c r="M20" i="42835" s="1"/>
  <c r="L18" i="42835"/>
  <c r="L20" i="42835" s="1"/>
  <c r="P17" i="42835" a="1"/>
  <c r="P17" i="42835" s="1"/>
  <c r="O17" i="42835"/>
  <c r="P16" i="42835" a="1"/>
  <c r="P16" i="42835" s="1"/>
  <c r="O16" i="42835"/>
  <c r="P15" i="42835" a="1"/>
  <c r="P15" i="42835" s="1"/>
  <c r="O15" i="42835"/>
  <c r="P14" i="42835" a="1"/>
  <c r="P14" i="42835" s="1"/>
  <c r="O14" i="42835"/>
  <c r="P13" i="42835" a="1"/>
  <c r="P13" i="42835" s="1"/>
  <c r="O13" i="42835"/>
  <c r="P12" i="42835" a="1"/>
  <c r="P12" i="42835" s="1"/>
  <c r="O12" i="42835"/>
  <c r="P11" i="42835" a="1"/>
  <c r="P11" i="42835" s="1"/>
  <c r="O11" i="42835"/>
  <c r="P10" i="42835" a="1"/>
  <c r="P10" i="42835" s="1"/>
  <c r="U7" i="42836" l="1"/>
  <c r="E58" i="42812" s="1"/>
  <c r="T7" i="42836"/>
  <c r="E57" i="42812" s="1"/>
  <c r="Q12" i="42836"/>
  <c r="AG42" i="42812"/>
  <c r="AJ42" i="42812" s="1"/>
  <c r="AI42" i="42812"/>
  <c r="AG40" i="42812"/>
  <c r="AJ40" i="42812" s="1"/>
  <c r="AI40" i="42812"/>
  <c r="AG37" i="42812"/>
  <c r="AJ37" i="42812" s="1"/>
  <c r="AI37" i="42812"/>
  <c r="AG39" i="42812"/>
  <c r="AJ39" i="42812" s="1"/>
  <c r="AI39" i="42812"/>
  <c r="AG49" i="42812"/>
  <c r="AJ49" i="42812" s="1"/>
  <c r="AI49" i="42812"/>
  <c r="AG50" i="42812"/>
  <c r="AJ50" i="42812" s="1"/>
  <c r="AI50" i="42812"/>
  <c r="AG45" i="42812"/>
  <c r="AJ45" i="42812" s="1"/>
  <c r="AI45" i="42812"/>
  <c r="AG43" i="42812"/>
  <c r="AJ43" i="42812" s="1"/>
  <c r="AI43" i="42812"/>
  <c r="AG48" i="42812"/>
  <c r="AJ48" i="42812" s="1"/>
  <c r="AI48" i="42812"/>
  <c r="AG38" i="42812"/>
  <c r="AJ38" i="42812" s="1"/>
  <c r="AI38" i="42812"/>
  <c r="AG41" i="42812"/>
  <c r="AJ41" i="42812" s="1"/>
  <c r="AI41" i="42812"/>
  <c r="AI46" i="42812"/>
  <c r="AG46" i="42812"/>
  <c r="AJ46" i="42812" s="1"/>
  <c r="AG44" i="42812"/>
  <c r="AJ44" i="42812" s="1"/>
  <c r="AI44" i="42812"/>
  <c r="AG51" i="42812"/>
  <c r="AJ51" i="42812" s="1"/>
  <c r="AI51" i="42812"/>
  <c r="AG36" i="42812"/>
  <c r="AJ36" i="42812" s="1"/>
  <c r="AI36" i="42812"/>
  <c r="AG47" i="42812"/>
  <c r="AJ47" i="42812" s="1"/>
  <c r="AI47" i="42812"/>
  <c r="M10" i="42836"/>
  <c r="L10" i="42836"/>
  <c r="N12" i="42836"/>
  <c r="J18" i="42835"/>
  <c r="K18" i="42835"/>
  <c r="M19" i="42835" s="1"/>
  <c r="M21" i="42835" s="1"/>
  <c r="L19" i="42835"/>
  <c r="O19" i="42835"/>
  <c r="E59" i="42812" l="1"/>
  <c r="V7" i="42836"/>
  <c r="W7" i="42836" s="1"/>
  <c r="F13" i="42790" s="1"/>
  <c r="O11" i="42836"/>
  <c r="O13" i="42836" s="1"/>
  <c r="N11" i="42836" a="1"/>
  <c r="N11" i="42836" s="1"/>
  <c r="D8" i="42835"/>
  <c r="D7" i="42835"/>
  <c r="BS107" i="42812" l="1"/>
  <c r="BS108" i="42812"/>
  <c r="BS109" i="42812"/>
  <c r="BS110" i="42812"/>
  <c r="BS111" i="42812"/>
  <c r="BS112" i="42812"/>
  <c r="BS113" i="42812"/>
  <c r="BS114" i="42812"/>
  <c r="BS115" i="42812"/>
  <c r="BS116" i="42812"/>
  <c r="BS106" i="42812"/>
  <c r="BS105" i="42812"/>
  <c r="BS99" i="42812"/>
  <c r="BS100" i="42812"/>
  <c r="BS101" i="42812"/>
  <c r="BS102" i="42812"/>
  <c r="BS103" i="42812"/>
  <c r="BS104" i="42812"/>
  <c r="BS98" i="42812"/>
  <c r="M38" i="42833" l="1"/>
  <c r="E14" i="42833"/>
  <c r="D14" i="42833"/>
  <c r="O5" i="42713"/>
  <c r="E5" i="42713"/>
  <c r="K2" i="42713"/>
  <c r="I2" i="42713"/>
  <c r="I5" i="42713"/>
  <c r="I5" i="42792"/>
  <c r="I4" i="42792"/>
  <c r="I3" i="42792"/>
  <c r="D4" i="42792"/>
  <c r="D3" i="42792"/>
  <c r="K5" i="42790"/>
  <c r="K4" i="42790"/>
  <c r="K3" i="42790"/>
  <c r="F4" i="42790"/>
  <c r="F3" i="42790"/>
  <c r="F12" i="42790" l="1"/>
  <c r="O72" i="42812"/>
  <c r="C73" i="42812"/>
  <c r="O73" i="42812"/>
  <c r="E72" i="42812"/>
  <c r="E73" i="42812"/>
  <c r="C72" i="42812"/>
  <c r="F5" i="42790" l="1"/>
  <c r="D5" i="42792"/>
  <c r="C99" i="42790"/>
  <c r="P67" i="42713"/>
  <c r="D17" i="42812"/>
  <c r="D18" i="42812"/>
  <c r="D19" i="42812"/>
  <c r="D20" i="42812"/>
  <c r="D21" i="42812"/>
  <c r="D22" i="42812"/>
  <c r="D23" i="42812"/>
  <c r="D24" i="42812"/>
  <c r="D25" i="42812"/>
  <c r="D26" i="42812"/>
  <c r="D27" i="42812"/>
  <c r="D28" i="42812"/>
  <c r="D29" i="42812"/>
  <c r="BL98" i="42812"/>
  <c r="D112" i="42790"/>
  <c r="C112" i="42790"/>
  <c r="D111" i="42790"/>
  <c r="C111" i="42790"/>
  <c r="D110" i="42790"/>
  <c r="C110" i="42790"/>
  <c r="D109" i="42790"/>
  <c r="C109" i="42790"/>
  <c r="D108" i="42790"/>
  <c r="C108" i="42790"/>
  <c r="D107" i="42790"/>
  <c r="C107" i="42790"/>
  <c r="D106" i="42790"/>
  <c r="C106" i="42790"/>
  <c r="D105" i="42790"/>
  <c r="C105" i="42790"/>
  <c r="D104" i="42790"/>
  <c r="C104" i="42790"/>
  <c r="D103" i="42790"/>
  <c r="C103" i="42790"/>
  <c r="C101" i="42790"/>
  <c r="C98" i="42790"/>
  <c r="C97" i="42790"/>
  <c r="C96" i="42790"/>
  <c r="D88" i="42790"/>
  <c r="D87" i="42790"/>
  <c r="C93" i="42790"/>
  <c r="C92" i="42790"/>
  <c r="C91" i="42790"/>
  <c r="C90" i="42790"/>
  <c r="C89" i="42790"/>
  <c r="C88" i="42790"/>
  <c r="C87" i="42790"/>
  <c r="D85" i="42790"/>
  <c r="D84" i="42790"/>
  <c r="D83" i="42790"/>
  <c r="D82" i="42790"/>
  <c r="D81" i="42790"/>
  <c r="D80" i="42790"/>
  <c r="D79" i="42790"/>
  <c r="D78" i="42790"/>
  <c r="D77" i="42790"/>
  <c r="D76" i="42790"/>
  <c r="D75" i="42790"/>
  <c r="C85" i="42790"/>
  <c r="C84" i="42790"/>
  <c r="C83" i="42790"/>
  <c r="C82" i="42790"/>
  <c r="C81" i="42790"/>
  <c r="C80" i="42790"/>
  <c r="C79" i="42790"/>
  <c r="C78" i="42790"/>
  <c r="C77" i="42790"/>
  <c r="C76" i="42790"/>
  <c r="C75" i="42790"/>
  <c r="C74" i="42790"/>
  <c r="C67" i="42790"/>
  <c r="C66" i="42790"/>
  <c r="C65" i="42790"/>
  <c r="C64" i="42790"/>
  <c r="C61" i="42790"/>
  <c r="C60" i="42790"/>
  <c r="C59" i="42790"/>
  <c r="C58" i="42790"/>
  <c r="C57" i="42790"/>
  <c r="C56" i="42790"/>
  <c r="C55" i="42790"/>
  <c r="C54" i="42790"/>
  <c r="C53" i="42790"/>
  <c r="C52" i="42790"/>
  <c r="D52" i="42790"/>
  <c r="D74" i="42790"/>
  <c r="D67" i="42790"/>
  <c r="D66" i="42790"/>
  <c r="D65" i="42790"/>
  <c r="D64" i="42790"/>
  <c r="D62" i="42790"/>
  <c r="D61" i="42790"/>
  <c r="D60" i="42790"/>
  <c r="D59" i="42790"/>
  <c r="D58" i="42790"/>
  <c r="D57" i="42790"/>
  <c r="D55" i="42790"/>
  <c r="D54" i="42790"/>
  <c r="D53" i="42790"/>
  <c r="O76" i="42812"/>
  <c r="O84" i="42812"/>
  <c r="O83" i="42812"/>
  <c r="O67" i="42812"/>
  <c r="E83" i="42812"/>
  <c r="O85" i="42812"/>
  <c r="C71" i="42812"/>
  <c r="C83" i="42812"/>
  <c r="O78" i="42812"/>
  <c r="C75" i="42812"/>
  <c r="C85" i="42812"/>
  <c r="O74" i="42812"/>
  <c r="E78" i="42812"/>
  <c r="C81" i="42812"/>
  <c r="O80" i="42812"/>
  <c r="E81" i="42812"/>
  <c r="E82" i="42812"/>
  <c r="E79" i="42812"/>
  <c r="O68" i="42812"/>
  <c r="O79" i="42812"/>
  <c r="C77" i="42812"/>
  <c r="C69" i="42812"/>
  <c r="O75" i="42812"/>
  <c r="E67" i="42812"/>
  <c r="C76" i="42812"/>
  <c r="E76" i="42812"/>
  <c r="E85" i="42812"/>
  <c r="C79" i="42812"/>
  <c r="C68" i="42812"/>
  <c r="O70" i="42812"/>
  <c r="C80" i="42812"/>
  <c r="E84" i="42812"/>
  <c r="C84" i="42812"/>
  <c r="C78" i="42812"/>
  <c r="C67" i="42812"/>
  <c r="E75" i="42812"/>
  <c r="O81" i="42812"/>
  <c r="O71" i="42812"/>
  <c r="E69" i="42812"/>
  <c r="E80" i="42812"/>
  <c r="O69" i="42812"/>
  <c r="E77" i="42812"/>
  <c r="O82" i="42812"/>
  <c r="E74" i="42812"/>
  <c r="E68" i="42812"/>
  <c r="E71" i="42812"/>
  <c r="C70" i="42812"/>
  <c r="E70" i="42812"/>
  <c r="C82" i="42812"/>
  <c r="C74" i="42812"/>
  <c r="O77" i="42812"/>
  <c r="AS35" i="42812" l="1"/>
  <c r="BL118" i="42812"/>
  <c r="BL117" i="42812"/>
  <c r="AE35" i="42812"/>
  <c r="AF35" i="42812"/>
  <c r="F35" i="42812"/>
  <c r="D35" i="42812"/>
  <c r="E46" i="42790"/>
  <c r="E45" i="42790"/>
  <c r="E44" i="42790"/>
  <c r="E43" i="42790"/>
  <c r="C45" i="42790"/>
  <c r="C44" i="42790"/>
  <c r="C43" i="42790"/>
  <c r="C42" i="42790"/>
  <c r="C41" i="42790"/>
  <c r="C40" i="42790"/>
  <c r="C39" i="42790"/>
  <c r="C38" i="42790"/>
  <c r="C37" i="42790"/>
  <c r="C36" i="42790"/>
  <c r="C35" i="42790"/>
  <c r="C34" i="42790"/>
  <c r="C33" i="42790"/>
  <c r="C32" i="42790"/>
  <c r="C31" i="42790"/>
  <c r="C30" i="42790"/>
  <c r="C29" i="42790"/>
  <c r="C28" i="42790"/>
  <c r="C27" i="42790"/>
  <c r="C46" i="42790"/>
  <c r="BL120" i="42812" l="1"/>
  <c r="K94" i="42790" s="1"/>
  <c r="AG35" i="42812"/>
  <c r="AJ35" i="42812" s="1"/>
  <c r="AI35" i="42812"/>
  <c r="D46" i="42790"/>
  <c r="D45" i="42790"/>
  <c r="D44" i="42790"/>
  <c r="D43" i="42790"/>
  <c r="D42" i="42790"/>
  <c r="D41" i="42790"/>
  <c r="D40" i="42790"/>
  <c r="D39" i="42790"/>
  <c r="D38" i="42790"/>
  <c r="D37" i="42790"/>
  <c r="D36" i="42790"/>
  <c r="D35" i="42790"/>
  <c r="D34" i="42790"/>
  <c r="D33" i="42790"/>
  <c r="D32" i="42790"/>
  <c r="D27" i="42790"/>
  <c r="D28" i="42790"/>
  <c r="D29" i="42790"/>
  <c r="D30" i="42790"/>
  <c r="D31" i="42790"/>
  <c r="G45" i="42790"/>
  <c r="F45" i="42790"/>
  <c r="G44" i="42790"/>
  <c r="F44" i="42790"/>
  <c r="G43" i="42790"/>
  <c r="F43" i="42790"/>
  <c r="G41" i="42790"/>
  <c r="F41" i="42790"/>
  <c r="E41" i="42790"/>
  <c r="G40" i="42790"/>
  <c r="F40" i="42790"/>
  <c r="E40" i="42790"/>
  <c r="G39" i="42790"/>
  <c r="F39" i="42790"/>
  <c r="E39" i="42790"/>
  <c r="G38" i="42790"/>
  <c r="F38" i="42790"/>
  <c r="E38" i="42790"/>
  <c r="G36" i="42790"/>
  <c r="F36" i="42790"/>
  <c r="E36" i="42790"/>
  <c r="D4" i="42812"/>
  <c r="D5" i="42812"/>
  <c r="D6" i="42812"/>
  <c r="D7" i="42812"/>
  <c r="D8" i="42812"/>
  <c r="D9" i="42812"/>
  <c r="D10" i="42812"/>
  <c r="D11" i="42812"/>
  <c r="D12" i="42812"/>
  <c r="P40" i="42713"/>
  <c r="P41" i="42713"/>
  <c r="P56" i="42713" l="1"/>
  <c r="P55" i="42713"/>
  <c r="P54" i="42713"/>
  <c r="P49" i="42713"/>
  <c r="T116" i="42812"/>
  <c r="B85" i="42812" s="1"/>
  <c r="T115" i="42812"/>
  <c r="B84" i="42812" s="1"/>
  <c r="T114" i="42812"/>
  <c r="B83" i="42812" s="1"/>
  <c r="T113" i="42812"/>
  <c r="B82" i="42812" s="1"/>
  <c r="T112" i="42812"/>
  <c r="B81" i="42812" s="1"/>
  <c r="T111" i="42812"/>
  <c r="B80" i="42812" s="1"/>
  <c r="T110" i="42812"/>
  <c r="B79" i="42812" s="1"/>
  <c r="T109" i="42812"/>
  <c r="B78" i="42812" s="1"/>
  <c r="T108" i="42812"/>
  <c r="B77" i="42812" s="1"/>
  <c r="T107" i="42812"/>
  <c r="B76" i="42812" s="1"/>
  <c r="T106" i="42812"/>
  <c r="B75" i="42812" s="1"/>
  <c r="T105" i="42812"/>
  <c r="B74" i="42812" s="1"/>
  <c r="T104" i="42812"/>
  <c r="B73" i="42812" s="1"/>
  <c r="T103" i="42812"/>
  <c r="B72" i="42812" s="1"/>
  <c r="T102" i="42812"/>
  <c r="B71" i="42812" s="1"/>
  <c r="T101" i="42812"/>
  <c r="B70" i="42812" s="1"/>
  <c r="T100" i="42812"/>
  <c r="B69" i="42812" s="1"/>
  <c r="T99" i="42812"/>
  <c r="B68" i="42812" s="1"/>
  <c r="T98" i="42812"/>
  <c r="B67" i="42812" s="1"/>
  <c r="AJ85" i="42812"/>
  <c r="AJ84" i="42812"/>
  <c r="AJ83" i="42812"/>
  <c r="AJ82" i="42812"/>
  <c r="AJ81" i="42812"/>
  <c r="AJ80" i="42812"/>
  <c r="AJ79" i="42812"/>
  <c r="AJ78" i="42812"/>
  <c r="AJ77" i="42812"/>
  <c r="AJ76" i="42812"/>
  <c r="AJ75" i="42812"/>
  <c r="AJ74" i="42812"/>
  <c r="AJ73" i="42812"/>
  <c r="AJ72" i="42812"/>
  <c r="AJ71" i="42812"/>
  <c r="AJ70" i="42812"/>
  <c r="AJ69" i="42812"/>
  <c r="AJ68" i="42812"/>
  <c r="AJ67" i="42812"/>
  <c r="AJ66" i="42812"/>
  <c r="P82" i="42713"/>
  <c r="CD97" i="42812" s="1"/>
  <c r="P81" i="42713"/>
  <c r="CC97" i="42812" s="1"/>
  <c r="P80" i="42713"/>
  <c r="CB97" i="42812" s="1"/>
  <c r="P79" i="42713"/>
  <c r="P78" i="42713"/>
  <c r="P77" i="42713"/>
  <c r="P76" i="42713"/>
  <c r="P75" i="42713"/>
  <c r="P74" i="42713"/>
  <c r="P73" i="42713"/>
  <c r="P69" i="42713"/>
  <c r="BS97" i="42812" s="1"/>
  <c r="P66" i="42713"/>
  <c r="P65" i="42713"/>
  <c r="P64" i="42713"/>
  <c r="P59" i="42713"/>
  <c r="P58" i="42713"/>
  <c r="P57" i="42713"/>
  <c r="P53" i="42713"/>
  <c r="U34" i="42812" s="1"/>
  <c r="P48" i="42713"/>
  <c r="P47" i="42713"/>
  <c r="P46" i="42713"/>
  <c r="P45" i="42713"/>
  <c r="P44" i="42713"/>
  <c r="P43" i="42713"/>
  <c r="P42" i="42713"/>
  <c r="P39" i="42713"/>
  <c r="P37" i="42713"/>
  <c r="P26" i="42713"/>
  <c r="P25" i="42713"/>
  <c r="P24" i="42713"/>
  <c r="P23" i="42713"/>
  <c r="I34" i="42812" s="1"/>
  <c r="P18" i="42713"/>
  <c r="P17" i="42713"/>
  <c r="P16" i="42713"/>
  <c r="P15" i="42713"/>
  <c r="P14" i="42713"/>
  <c r="P13" i="42713"/>
  <c r="P12" i="42713"/>
  <c r="P11" i="42713"/>
  <c r="P9" i="42713"/>
  <c r="E66" i="42812"/>
  <c r="O66" i="42812"/>
  <c r="C66" i="42812"/>
  <c r="AE97" i="42812"/>
  <c r="AC34" i="42812" l="1"/>
  <c r="Q34" i="42812"/>
  <c r="AE118" i="42812"/>
  <c r="AE117" i="42812"/>
  <c r="C34" i="42812"/>
  <c r="S34" i="42812"/>
  <c r="Y34" i="42812"/>
  <c r="W34" i="42812"/>
  <c r="E34" i="42812"/>
  <c r="G34" i="42812"/>
  <c r="O34" i="42812"/>
  <c r="AA34" i="42812"/>
  <c r="AW52" i="42812"/>
  <c r="AW53" i="42812"/>
  <c r="BS117" i="42812"/>
  <c r="AE120" i="42812" l="1"/>
  <c r="K61" i="42790" s="1"/>
  <c r="BS118" i="42812"/>
  <c r="BS120" i="42812" s="1"/>
  <c r="K101" i="42790" s="1"/>
  <c r="AA55" i="42812"/>
  <c r="AY34" i="42812"/>
  <c r="AY55" i="42812" s="1"/>
  <c r="AB34" i="42812"/>
  <c r="O55" i="42812"/>
  <c r="AU34" i="42812"/>
  <c r="AU55" i="42812" s="1"/>
  <c r="P34" i="42812"/>
  <c r="Q55" i="42812"/>
  <c r="R34" i="42812"/>
  <c r="AW34" i="42812"/>
  <c r="AW55" i="42812" s="1"/>
  <c r="S55" i="42812"/>
  <c r="T34" i="42812"/>
  <c r="W55" i="42812"/>
  <c r="AX34" i="42812"/>
  <c r="AX55" i="42812" s="1"/>
  <c r="X34" i="42812"/>
  <c r="AH53" i="42812"/>
  <c r="AE53" i="42812"/>
  <c r="T53" i="42812"/>
  <c r="V53" i="42812"/>
  <c r="AC55" i="42812"/>
  <c r="AD34" i="42812"/>
  <c r="Y55" i="42812"/>
  <c r="Z34" i="42812"/>
  <c r="J34" i="42812"/>
  <c r="I55" i="42812"/>
  <c r="AH52" i="42812"/>
  <c r="AE52" i="42812"/>
  <c r="T52" i="42812"/>
  <c r="V52" i="42812"/>
  <c r="AF34" i="42812"/>
  <c r="C55" i="42812"/>
  <c r="D34" i="42812"/>
  <c r="AE34" i="42812"/>
  <c r="G55" i="42812"/>
  <c r="AT34" i="42812"/>
  <c r="AT55" i="42812" s="1"/>
  <c r="H34" i="42812"/>
  <c r="U55" i="42812"/>
  <c r="V34" i="42812"/>
  <c r="AS34" i="42812"/>
  <c r="AS55" i="42812" s="1"/>
  <c r="E55" i="42812"/>
  <c r="F34" i="42812"/>
  <c r="AH34" i="42812"/>
  <c r="G37" i="42790"/>
  <c r="F37" i="42790"/>
  <c r="E37" i="42790"/>
  <c r="C57" i="42812" l="1"/>
  <c r="C58" i="42812"/>
  <c r="F58" i="42812" s="1"/>
  <c r="AE55" i="42812"/>
  <c r="AI53" i="42812"/>
  <c r="AG53" i="42812"/>
  <c r="AJ53" i="42812" s="1"/>
  <c r="AF55" i="42812"/>
  <c r="AG34" i="42812"/>
  <c r="AJ34" i="42812" s="1"/>
  <c r="AI52" i="42812"/>
  <c r="AG52" i="42812"/>
  <c r="AJ52" i="42812" s="1"/>
  <c r="AI34" i="42812"/>
  <c r="AH55" i="42812"/>
  <c r="G46" i="42790"/>
  <c r="F46" i="42790"/>
  <c r="C59" i="42812" l="1"/>
  <c r="C60" i="42812" s="1"/>
  <c r="F57" i="42812"/>
  <c r="F59" i="42812" s="1"/>
  <c r="F60" i="42812" s="1"/>
  <c r="K11" i="42790" s="1"/>
  <c r="AC58" i="42812"/>
  <c r="K7" i="42790"/>
  <c r="E42" i="42790"/>
  <c r="F42" i="42790"/>
  <c r="G42" i="42790"/>
  <c r="K12" i="42790" l="1"/>
  <c r="F35" i="42790"/>
  <c r="G35" i="42790"/>
  <c r="E35" i="42790"/>
  <c r="O86" i="42812" l="1"/>
  <c r="C86" i="42812"/>
  <c r="D67" i="42812" l="1"/>
  <c r="F67" i="42812"/>
  <c r="AK67" i="42812"/>
  <c r="D85" i="42812"/>
  <c r="F85" i="42812"/>
  <c r="AK85" i="42812"/>
  <c r="AK79" i="42812"/>
  <c r="D79" i="42812"/>
  <c r="F79" i="42812"/>
  <c r="D71" i="42812"/>
  <c r="F71" i="42812"/>
  <c r="AK71" i="42812"/>
  <c r="F73" i="42812"/>
  <c r="D73" i="42812"/>
  <c r="AK73" i="42812"/>
  <c r="D75" i="42812"/>
  <c r="AK75" i="42812"/>
  <c r="F75" i="42812"/>
  <c r="AK69" i="42812"/>
  <c r="D69" i="42812"/>
  <c r="F69" i="42812"/>
  <c r="F76" i="42812"/>
  <c r="D76" i="42812"/>
  <c r="AK76" i="42812"/>
  <c r="AK68" i="42812"/>
  <c r="D68" i="42812"/>
  <c r="F68" i="42812"/>
  <c r="F82" i="42812"/>
  <c r="AK82" i="42812"/>
  <c r="D82" i="42812"/>
  <c r="AK84" i="42812"/>
  <c r="F84" i="42812"/>
  <c r="D84" i="42812"/>
  <c r="D74" i="42812"/>
  <c r="F74" i="42812"/>
  <c r="AK74" i="42812"/>
  <c r="E86" i="42812"/>
  <c r="AK66" i="42812"/>
  <c r="D66" i="42812"/>
  <c r="F66" i="42812"/>
  <c r="F77" i="42812"/>
  <c r="AK77" i="42812"/>
  <c r="D77" i="42812"/>
  <c r="AK81" i="42812"/>
  <c r="F81" i="42812"/>
  <c r="D81" i="42812"/>
  <c r="F83" i="42812"/>
  <c r="AK83" i="42812"/>
  <c r="D83" i="42812"/>
  <c r="F78" i="42812"/>
  <c r="AK78" i="42812"/>
  <c r="D78" i="42812"/>
  <c r="F80" i="42812"/>
  <c r="D80" i="42812"/>
  <c r="AK80" i="42812"/>
  <c r="D72" i="42812"/>
  <c r="F72" i="42812"/>
  <c r="AK72" i="42812"/>
  <c r="AK70" i="42812"/>
  <c r="F70" i="42812"/>
  <c r="D70" i="42812"/>
  <c r="AX104" i="42812"/>
  <c r="BO105" i="42812"/>
  <c r="BY112" i="42812"/>
  <c r="I84" i="42812"/>
  <c r="AK112" i="42812"/>
  <c r="P258" i="42812" a="1"/>
  <c r="BI115" i="42812"/>
  <c r="AW98" i="42812"/>
  <c r="BN113" i="42812"/>
  <c r="AZ100" i="42812"/>
  <c r="AF111" i="42812"/>
  <c r="P312" i="42812" a="1"/>
  <c r="P262" i="42812" a="1"/>
  <c r="BF110" i="42812"/>
  <c r="AD106" i="42812"/>
  <c r="BE111" i="42812"/>
  <c r="P655" i="42812" a="1"/>
  <c r="Z110" i="42812"/>
  <c r="W78" i="42812"/>
  <c r="BP103" i="42812"/>
  <c r="Y75" i="42812"/>
  <c r="P367" i="42812" a="1"/>
  <c r="AA111" i="42812"/>
  <c r="CA116" i="42812"/>
  <c r="P100" i="42812" a="1"/>
  <c r="P518" i="42812" a="1"/>
  <c r="AT97" i="42812"/>
  <c r="BV99" i="42812"/>
  <c r="Y77" i="42812"/>
  <c r="P327" i="42812" a="1"/>
  <c r="M73" i="42812"/>
  <c r="BP114" i="42812"/>
  <c r="BB106" i="42812"/>
  <c r="P440" i="42812" a="1"/>
  <c r="CA105" i="42812"/>
  <c r="M68" i="42812"/>
  <c r="P354" i="42812" a="1"/>
  <c r="P480" i="42812" a="1"/>
  <c r="BF106" i="42812"/>
  <c r="P460" i="42812" a="1"/>
  <c r="S68" i="42812"/>
  <c r="BE107" i="42812"/>
  <c r="P199" i="42812" a="1"/>
  <c r="P97" i="42812" a="1"/>
  <c r="AB106" i="42812"/>
  <c r="AT113" i="42812"/>
  <c r="BK102" i="42812"/>
  <c r="K66" i="42812"/>
  <c r="P675" i="42812" a="1"/>
  <c r="AH100" i="42812"/>
  <c r="K81" i="42812"/>
  <c r="P104" i="42812" a="1"/>
  <c r="BV114" i="42812"/>
  <c r="BB114" i="42812"/>
  <c r="BV97" i="42812"/>
  <c r="P341" i="42812" a="1"/>
  <c r="P433" i="42812" a="1"/>
  <c r="K69" i="42812"/>
  <c r="BF99" i="42812"/>
  <c r="W81" i="42812"/>
  <c r="BA106" i="42812"/>
  <c r="CA98" i="42812"/>
  <c r="V100" i="42812"/>
  <c r="AK114" i="42812"/>
  <c r="P370" i="42812" a="1"/>
  <c r="BB112" i="42812"/>
  <c r="P446" i="42812" a="1"/>
  <c r="BI112" i="42812"/>
  <c r="AU100" i="42812"/>
  <c r="Z102" i="42812"/>
  <c r="AS109" i="42812"/>
  <c r="P380" i="42812" a="1"/>
  <c r="BR104" i="42812"/>
  <c r="BK100" i="42812"/>
  <c r="AS116" i="42812"/>
  <c r="BR101" i="42812"/>
  <c r="P295" i="42812" a="1"/>
  <c r="X109" i="42812"/>
  <c r="V111" i="42812"/>
  <c r="Q80" i="42812"/>
  <c r="U81" i="42812"/>
  <c r="P330" i="42812" a="1"/>
  <c r="P569" i="42812" a="1"/>
  <c r="BK113" i="42812"/>
  <c r="AI99" i="42812"/>
  <c r="Y106" i="42812"/>
  <c r="AD99" i="42812"/>
  <c r="P174" i="42812" a="1"/>
  <c r="P245" i="42812" a="1"/>
  <c r="BZ106" i="42812"/>
  <c r="BN114" i="42812"/>
  <c r="BE99" i="42812"/>
  <c r="P673" i="42812" a="1"/>
  <c r="AC104" i="42812"/>
  <c r="P284" i="42812" a="1"/>
  <c r="P285" i="42812" a="1"/>
  <c r="AC106" i="42812"/>
  <c r="P543" i="42812" a="1"/>
  <c r="P111" i="42812" a="1"/>
  <c r="I81" i="42812"/>
  <c r="P583" i="42812" a="1"/>
  <c r="Z111" i="42812"/>
  <c r="AA110" i="42812"/>
  <c r="BE97" i="42812"/>
  <c r="AJ98" i="42812"/>
  <c r="BK103" i="42812"/>
  <c r="AU109" i="42812"/>
  <c r="P611" i="42812" a="1"/>
  <c r="AW112" i="42812"/>
  <c r="BX111" i="42812"/>
  <c r="M75" i="42812"/>
  <c r="AS102" i="42812"/>
  <c r="V98" i="42812"/>
  <c r="P427" i="42812" a="1"/>
  <c r="P426" i="42812" a="1"/>
  <c r="BZ105" i="42812"/>
  <c r="BW98" i="42812"/>
  <c r="AX107" i="42812"/>
  <c r="P125" i="42812" a="1"/>
  <c r="BO113" i="42812"/>
  <c r="P290" i="42812" a="1"/>
  <c r="BC103" i="42812"/>
  <c r="P253" i="42812" a="1"/>
  <c r="AY101" i="42812"/>
  <c r="AB109" i="42812"/>
  <c r="AT107" i="42812"/>
  <c r="P502" i="42812" a="1"/>
  <c r="P503" i="42812" a="1"/>
  <c r="P600" i="42812" a="1"/>
  <c r="P441" i="42812" a="1"/>
  <c r="AW101" i="42812"/>
  <c r="P207" i="42812" a="1"/>
  <c r="I70" i="42812"/>
  <c r="BG110" i="42812"/>
  <c r="BU113" i="42812"/>
  <c r="AW114" i="42812"/>
  <c r="P551" i="42812" a="1"/>
  <c r="BH109" i="42812"/>
  <c r="BW115" i="42812"/>
  <c r="AB99" i="42812"/>
  <c r="AZ116" i="42812"/>
  <c r="AF106" i="42812"/>
  <c r="AD100" i="42812"/>
  <c r="BC112" i="42812"/>
  <c r="P383" i="42812" a="1"/>
  <c r="BW110" i="42812"/>
  <c r="BB116" i="42812"/>
  <c r="AU110" i="42812"/>
  <c r="BH107" i="42812"/>
  <c r="P550" i="42812" a="1"/>
  <c r="P590" i="42812" a="1"/>
  <c r="W102" i="42812"/>
  <c r="AT108" i="42812"/>
  <c r="P548" i="42812" a="1"/>
  <c r="BN110" i="42812"/>
  <c r="Q73" i="42812"/>
  <c r="Z115" i="42812"/>
  <c r="CA110" i="42812"/>
  <c r="P561" i="42812" a="1"/>
  <c r="V113" i="42812"/>
  <c r="P98" i="42812" a="1"/>
  <c r="BY98" i="42812"/>
  <c r="W79" i="42812"/>
  <c r="Y71" i="42812"/>
  <c r="AA115" i="42812"/>
  <c r="BZ111" i="42812"/>
  <c r="P455" i="42812" a="1"/>
  <c r="Q81" i="42812"/>
  <c r="P635" i="42812" a="1"/>
  <c r="AF99" i="42812"/>
  <c r="P666" i="42812" a="1"/>
  <c r="P180" i="42812" a="1"/>
  <c r="P593" i="42812" a="1"/>
  <c r="P119" i="42812" a="1"/>
  <c r="AJ100" i="42812"/>
  <c r="P443" i="42812" a="1"/>
  <c r="AI100" i="42812"/>
  <c r="BP111" i="42812"/>
  <c r="P652" i="42812" a="1"/>
  <c r="AR112" i="42812"/>
  <c r="P499" i="42812" a="1"/>
  <c r="BE113" i="42812"/>
  <c r="P606" i="42812" a="1"/>
  <c r="P532" i="42812" a="1"/>
  <c r="BJ113" i="42812"/>
  <c r="K67" i="42812"/>
  <c r="BR106" i="42812"/>
  <c r="P406" i="42812" a="1"/>
  <c r="AH103" i="42812"/>
  <c r="AF102" i="42812"/>
  <c r="AJ106" i="42812"/>
  <c r="AX97" i="42812"/>
  <c r="BX112" i="42812"/>
  <c r="BI107" i="42812"/>
  <c r="P513" i="42812" a="1"/>
  <c r="BX115" i="42812"/>
  <c r="AZ106" i="42812"/>
  <c r="AZ110" i="42812"/>
  <c r="BJ108" i="42812"/>
  <c r="P99" i="42812" a="1"/>
  <c r="BW116" i="42812"/>
  <c r="BP101" i="42812"/>
  <c r="BX104" i="42812"/>
  <c r="P136" i="42812" a="1"/>
  <c r="P669" i="42812" a="1"/>
  <c r="P448" i="42812" a="1"/>
  <c r="K80" i="42812"/>
  <c r="P632" i="42812" a="1"/>
  <c r="BZ100" i="42812"/>
  <c r="P529" i="42812" a="1"/>
  <c r="P153" i="42812" a="1"/>
  <c r="P624" i="42812" a="1"/>
  <c r="P170" i="42812" a="1"/>
  <c r="AU103" i="42812"/>
  <c r="P325" i="42812" a="1"/>
  <c r="BB97" i="42812"/>
  <c r="P313" i="42812" a="1"/>
  <c r="P365" i="42812" a="1"/>
  <c r="M81" i="42812"/>
  <c r="P107" i="42812" a="1"/>
  <c r="P286" i="42812" a="1"/>
  <c r="X100" i="42812"/>
  <c r="P422" i="42812" a="1"/>
  <c r="BC106" i="42812"/>
  <c r="P135" i="42812" a="1"/>
  <c r="BG106" i="42812"/>
  <c r="P487" i="42812" a="1"/>
  <c r="AK103" i="42812"/>
  <c r="G75" i="42812"/>
  <c r="I74" i="42812"/>
  <c r="P106" i="42812" a="1"/>
  <c r="W66" i="42812"/>
  <c r="P547" i="42812" a="1"/>
  <c r="U75" i="42812"/>
  <c r="AA106" i="42812"/>
  <c r="U84" i="42812"/>
  <c r="P287" i="42812" a="1"/>
  <c r="BJ101" i="42812"/>
  <c r="AR115" i="42812"/>
  <c r="P474" i="42812" a="1"/>
  <c r="P324" i="42812" a="1"/>
  <c r="AF97" i="42812"/>
  <c r="BZ116" i="42812"/>
  <c r="BK104" i="42812"/>
  <c r="Z107" i="42812"/>
  <c r="P357" i="42812" a="1"/>
  <c r="P452" i="42812" a="1"/>
  <c r="Z103" i="42812"/>
  <c r="BR109" i="42812"/>
  <c r="S73" i="42812"/>
  <c r="BY114" i="42812"/>
  <c r="P363" i="42812" a="1"/>
  <c r="BO99" i="42812"/>
  <c r="BK107" i="42812"/>
  <c r="BE103" i="42812"/>
  <c r="BG99" i="42812"/>
  <c r="P603" i="42812" a="1"/>
  <c r="AW107" i="42812"/>
  <c r="P659" i="42812" a="1"/>
  <c r="BZ97" i="42812"/>
  <c r="AJ102" i="42812"/>
  <c r="M85" i="42812"/>
  <c r="AU102" i="42812"/>
  <c r="AF114" i="42812"/>
  <c r="P234" i="42812" a="1"/>
  <c r="BC114" i="42812"/>
  <c r="BI116" i="42812"/>
  <c r="AS104" i="42812"/>
  <c r="P510" i="42812" a="1"/>
  <c r="P315" i="42812" a="1"/>
  <c r="P472" i="42812" a="1"/>
  <c r="P528" i="42812" a="1"/>
  <c r="BX116" i="42812"/>
  <c r="P217" i="42812" a="1"/>
  <c r="AB103" i="42812"/>
  <c r="AX108" i="42812"/>
  <c r="BR108" i="42812"/>
  <c r="P542" i="42812" a="1"/>
  <c r="BW102" i="42812"/>
  <c r="AD97" i="42812"/>
  <c r="BU101" i="42812"/>
  <c r="AI104" i="42812"/>
  <c r="P248" i="42812" a="1"/>
  <c r="P670" i="42812" a="1"/>
  <c r="P259" i="42812" a="1"/>
  <c r="Q79" i="42812"/>
  <c r="P219" i="42812" a="1"/>
  <c r="P349" i="42812" a="1"/>
  <c r="AA112" i="42812"/>
  <c r="BK112" i="42812"/>
  <c r="AI112" i="42812"/>
  <c r="K83" i="42812"/>
  <c r="P431" i="42812" a="1"/>
  <c r="AB110" i="42812"/>
  <c r="BR111" i="42812"/>
  <c r="BW105" i="42812"/>
  <c r="P150" i="42812" a="1"/>
  <c r="BZ110" i="42812"/>
  <c r="BC110" i="42812"/>
  <c r="P308" i="42812" a="1"/>
  <c r="AA107" i="42812"/>
  <c r="AW100" i="42812"/>
  <c r="P194" i="42812" a="1"/>
  <c r="P176" i="42812" a="1"/>
  <c r="BP112" i="42812"/>
  <c r="U77" i="42812"/>
  <c r="Y111" i="42812"/>
  <c r="AK111" i="42812"/>
  <c r="BW114" i="42812"/>
  <c r="Q84" i="42812"/>
  <c r="AI107" i="42812"/>
  <c r="P96" i="42812" a="1"/>
  <c r="P654" i="42812" a="1"/>
  <c r="P209" i="42812" a="1"/>
  <c r="BW106" i="42812"/>
  <c r="BQ108" i="42812"/>
  <c r="Q67" i="42812"/>
  <c r="Y98" i="42812"/>
  <c r="Y99" i="42812"/>
  <c r="P146" i="42812" a="1"/>
  <c r="AK113" i="42812"/>
  <c r="P415" i="42812" a="1"/>
  <c r="P483" i="42812" a="1"/>
  <c r="G77" i="42812"/>
  <c r="P159" i="42812" a="1"/>
  <c r="P182" i="42812" a="1"/>
  <c r="BC99" i="42812"/>
  <c r="P118" i="42812" a="1"/>
  <c r="W84" i="42812"/>
  <c r="BN99" i="42812"/>
  <c r="AZ99" i="42812"/>
  <c r="BA114" i="42812"/>
  <c r="AI103" i="42812"/>
  <c r="P683" i="42812" a="1"/>
  <c r="S67" i="42812"/>
  <c r="AR103" i="42812"/>
  <c r="P526" i="42812" a="1"/>
  <c r="P322" i="42812" a="1"/>
  <c r="AA109" i="42812"/>
  <c r="P531" i="42812" a="1"/>
  <c r="M76" i="42812"/>
  <c r="P496" i="42812" a="1"/>
  <c r="AD108" i="42812"/>
  <c r="AJ101" i="42812"/>
  <c r="AB111" i="42812"/>
  <c r="U83" i="42812"/>
  <c r="AT109" i="42812"/>
  <c r="BH116" i="42812"/>
  <c r="P204" i="42812" a="1"/>
  <c r="P257" i="42812" a="1"/>
  <c r="BN104" i="42812"/>
  <c r="BN109" i="42812"/>
  <c r="AB101" i="42812"/>
  <c r="AB114" i="42812"/>
  <c r="P515" i="42812" a="1"/>
  <c r="Q70" i="42812"/>
  <c r="BG101" i="42812"/>
  <c r="Q77" i="42812"/>
  <c r="BP115" i="42812"/>
  <c r="S77" i="42812"/>
  <c r="Q78" i="42812"/>
  <c r="AA114" i="42812"/>
  <c r="BG108" i="42812"/>
  <c r="P475" i="42812" a="1"/>
  <c r="Z100" i="42812"/>
  <c r="P604" i="42812" a="1"/>
  <c r="P178" i="42812" a="1"/>
  <c r="P162" i="42812" a="1"/>
  <c r="BW99" i="42812"/>
  <c r="BB101" i="42812"/>
  <c r="P155" i="42812" a="1"/>
  <c r="M83" i="42812"/>
  <c r="P557" i="42812" a="1"/>
  <c r="P144" i="42812" a="1"/>
  <c r="BK101" i="42812"/>
  <c r="AJ112" i="42812"/>
  <c r="P579" i="42812" a="1"/>
  <c r="BA112" i="42812"/>
  <c r="AI101" i="42812"/>
  <c r="V115" i="42812"/>
  <c r="P356" i="42812" a="1"/>
  <c r="K74" i="42812"/>
  <c r="P656" i="42812" a="1"/>
  <c r="BE108" i="42812"/>
  <c r="AD107" i="42812"/>
  <c r="P298" i="42812" a="1"/>
  <c r="AR99" i="42812"/>
  <c r="M66" i="42812"/>
  <c r="AR102" i="42812"/>
  <c r="CA109" i="42812"/>
  <c r="W101" i="42812"/>
  <c r="BV112" i="42812"/>
  <c r="AY116" i="42812"/>
  <c r="P410" i="42812" a="1"/>
  <c r="CA108" i="42812"/>
  <c r="P404" i="42812" a="1"/>
  <c r="P247" i="42812" a="1"/>
  <c r="M80" i="42812"/>
  <c r="X112" i="42812"/>
  <c r="P306" i="42812" a="1"/>
  <c r="P355" i="42812" a="1"/>
  <c r="BY97" i="42812"/>
  <c r="BQ99" i="42812"/>
  <c r="P385" i="42812" a="1"/>
  <c r="P384" i="42812" a="1"/>
  <c r="BU114" i="42812"/>
  <c r="P554" i="42812" a="1"/>
  <c r="P684" i="42812" a="1"/>
  <c r="P126" i="42812" a="1"/>
  <c r="P161" i="42812" a="1"/>
  <c r="AR101" i="42812"/>
  <c r="AY103" i="42812"/>
  <c r="BA108" i="42812"/>
  <c r="P424" i="42812" a="1"/>
  <c r="AF98" i="42812"/>
  <c r="V104" i="42812"/>
  <c r="AX102" i="42812"/>
  <c r="BB100" i="42812"/>
  <c r="AC107" i="42812"/>
  <c r="W99" i="42812"/>
  <c r="AH102" i="42812"/>
  <c r="BJ110" i="42812"/>
  <c r="AX101" i="42812"/>
  <c r="M70" i="42812"/>
  <c r="Q71" i="42812"/>
  <c r="P163" i="42812" a="1"/>
  <c r="G72" i="42812"/>
  <c r="P560" i="42812" a="1"/>
  <c r="BZ114" i="42812"/>
  <c r="BU102" i="42812"/>
  <c r="BN115" i="42812"/>
  <c r="BC102" i="42812"/>
  <c r="P546" i="42812" a="1"/>
  <c r="AF104" i="42812"/>
  <c r="AT99" i="42812"/>
  <c r="AX103" i="42812"/>
  <c r="P469" i="42812" a="1"/>
  <c r="P517" i="42812" a="1"/>
  <c r="I66" i="42812"/>
  <c r="BE105" i="42812"/>
  <c r="P168" i="42812" a="1"/>
  <c r="P256" i="42812" a="1"/>
  <c r="BK111" i="42812"/>
  <c r="AY113" i="42812"/>
  <c r="W108" i="42812"/>
  <c r="AZ97" i="42812"/>
  <c r="P186" i="42812" a="1"/>
  <c r="CA104" i="42812"/>
  <c r="P184" i="42812" a="1"/>
  <c r="AF116" i="42812"/>
  <c r="I85" i="42812"/>
  <c r="W77" i="42812"/>
  <c r="BY104" i="42812"/>
  <c r="P115" i="42812" a="1"/>
  <c r="BA101" i="42812"/>
  <c r="AH108" i="42812"/>
  <c r="P484" i="42812" a="1"/>
  <c r="S83" i="42812"/>
  <c r="BP99" i="42812"/>
  <c r="AH116" i="42812"/>
  <c r="AT110" i="42812"/>
  <c r="Y102" i="42812"/>
  <c r="P179" i="42812" a="1"/>
  <c r="P598" i="42812" a="1"/>
  <c r="P608" i="42812" a="1"/>
  <c r="Y70" i="42812"/>
  <c r="V101" i="42812"/>
  <c r="BA109" i="42812"/>
  <c r="P120" i="42812" a="1"/>
  <c r="BU97" i="42812"/>
  <c r="AS101" i="42812"/>
  <c r="BH106" i="42812"/>
  <c r="P447" i="42812" a="1"/>
  <c r="G73" i="42812"/>
  <c r="P92" i="42812" a="1"/>
  <c r="P388" i="42812" a="1"/>
  <c r="BO108" i="42812"/>
  <c r="BF97" i="42812"/>
  <c r="AV115" i="42812"/>
  <c r="AZ98" i="42812"/>
  <c r="P584" i="42812" a="1"/>
  <c r="P416" i="42812" a="1"/>
  <c r="W70" i="42812"/>
  <c r="BQ116" i="42812"/>
  <c r="AT98" i="42812"/>
  <c r="P171" i="42812" a="1"/>
  <c r="BV110" i="42812"/>
  <c r="P309" i="42812" a="1"/>
  <c r="W97" i="42812"/>
  <c r="BH100" i="42812"/>
  <c r="BQ97" i="42812"/>
  <c r="BR105" i="42812"/>
  <c r="BB102" i="42812"/>
  <c r="P621" i="42812" a="1"/>
  <c r="P602" i="42812" a="1"/>
  <c r="P401" i="42812" a="1"/>
  <c r="P352" i="42812" a="1"/>
  <c r="AY114" i="42812"/>
  <c r="AI106" i="42812"/>
  <c r="P668" i="42812" a="1"/>
  <c r="I68" i="42812"/>
  <c r="Z108" i="42812"/>
  <c r="BQ102" i="42812"/>
  <c r="W105" i="42812"/>
  <c r="P479" i="42812" a="1"/>
  <c r="AZ111" i="42812"/>
  <c r="P644" i="42812" a="1"/>
  <c r="P636" i="42812" a="1"/>
  <c r="P662" i="42812" a="1"/>
  <c r="AU98" i="42812"/>
  <c r="BQ110" i="42812"/>
  <c r="BW101" i="42812"/>
  <c r="BV107" i="42812"/>
  <c r="BN98" i="42812"/>
  <c r="P223" i="42812" a="1"/>
  <c r="AV101" i="42812"/>
  <c r="AV113" i="42812"/>
  <c r="P369" i="42812" a="1"/>
  <c r="AJ113" i="42812"/>
  <c r="I77" i="42812"/>
  <c r="P522" i="42812" a="1"/>
  <c r="Z109" i="42812"/>
  <c r="AC101" i="42812"/>
  <c r="P400" i="42812" a="1"/>
  <c r="BP107" i="42812"/>
  <c r="P177" i="42812" a="1"/>
  <c r="BA115" i="42812"/>
  <c r="Y68" i="42812"/>
  <c r="BV113" i="42812"/>
  <c r="W113" i="42812"/>
  <c r="BX98" i="42812"/>
  <c r="X115" i="42812"/>
  <c r="AV114" i="42812"/>
  <c r="AF113" i="42812"/>
  <c r="BU111" i="42812"/>
  <c r="M82" i="42812"/>
  <c r="AZ109" i="42812"/>
  <c r="P114" i="42812" a="1"/>
  <c r="BV98" i="42812"/>
  <c r="W82" i="42812"/>
  <c r="BK99" i="42812"/>
  <c r="AX100" i="42812"/>
  <c r="BR102" i="42812"/>
  <c r="P524" i="42812" a="1"/>
  <c r="BV105" i="42812"/>
  <c r="P536" i="42812" a="1"/>
  <c r="P642" i="42812" a="1"/>
  <c r="G78" i="42812"/>
  <c r="AJ109" i="42812"/>
  <c r="P681" i="42812" a="1"/>
  <c r="U73" i="42812"/>
  <c r="AA108" i="42812"/>
  <c r="P386" i="42812" a="1"/>
  <c r="BQ112" i="42812"/>
  <c r="P519" i="42812" a="1"/>
  <c r="P280" i="42812" a="1"/>
  <c r="P188" i="42812" a="1"/>
  <c r="P638" i="42812" a="1"/>
  <c r="P491" i="42812" a="1"/>
  <c r="P226" i="42812" a="1"/>
  <c r="P250" i="42812" a="1"/>
  <c r="P196" i="42812" a="1"/>
  <c r="G70" i="42812"/>
  <c r="AK108" i="42812"/>
  <c r="P139" i="42812" a="1"/>
  <c r="P477" i="42812" a="1"/>
  <c r="P145" i="42812" a="1"/>
  <c r="BR114" i="42812"/>
  <c r="Y83" i="42812"/>
  <c r="P555" i="42812" a="1"/>
  <c r="P353" i="42812" a="1"/>
  <c r="P627" i="42812" a="1"/>
  <c r="BQ98" i="42812"/>
  <c r="BF102" i="42812"/>
  <c r="BE101" i="42812"/>
  <c r="BN111" i="42812"/>
  <c r="BQ114" i="42812"/>
  <c r="BP97" i="42812"/>
  <c r="P648" i="42812" a="1"/>
  <c r="P573" i="42812" a="1"/>
  <c r="BB98" i="42812"/>
  <c r="BQ100" i="42812"/>
  <c r="BJ111" i="42812"/>
  <c r="BN116" i="42812"/>
  <c r="BB104" i="42812"/>
  <c r="Q75" i="42812"/>
  <c r="W80" i="42812"/>
  <c r="P435" i="42812" a="1"/>
  <c r="BU99" i="42812"/>
  <c r="CA114" i="42812"/>
  <c r="P187" i="42812" a="1"/>
  <c r="BA100" i="42812"/>
  <c r="AI109" i="42812"/>
  <c r="CA106" i="42812"/>
  <c r="P112" i="42812" a="1"/>
  <c r="AY105" i="42812"/>
  <c r="BR112" i="42812"/>
  <c r="P419" i="42812" a="1"/>
  <c r="BY102" i="42812"/>
  <c r="P197" i="42812" a="1"/>
  <c r="Y80" i="42812"/>
  <c r="W68" i="42812"/>
  <c r="P160" i="42812" a="1"/>
  <c r="P279" i="42812" a="1"/>
  <c r="P651" i="42812" a="1"/>
  <c r="AA102" i="42812"/>
  <c r="W75" i="42812"/>
  <c r="AY108" i="42812"/>
  <c r="BJ116" i="42812"/>
  <c r="AF100" i="42812"/>
  <c r="P232" i="42812" a="1"/>
  <c r="P293" i="42812" a="1"/>
  <c r="P264" i="42812" a="1"/>
  <c r="W109" i="42812"/>
  <c r="P381" i="42812" a="1"/>
  <c r="P142" i="42812" a="1"/>
  <c r="AU104" i="42812"/>
  <c r="Y73" i="42812"/>
  <c r="CA113" i="42812"/>
  <c r="AA99" i="42812"/>
  <c r="BF100" i="42812"/>
  <c r="BI110" i="42812"/>
  <c r="P478" i="42812" a="1"/>
  <c r="P464" i="42812" a="1"/>
  <c r="Y100" i="42812"/>
  <c r="X113" i="42812"/>
  <c r="AX99" i="42812"/>
  <c r="BA105" i="42812"/>
  <c r="P392" i="42812" a="1"/>
  <c r="AB115" i="42812"/>
  <c r="BH99" i="42812"/>
  <c r="BW108" i="42812"/>
  <c r="V102" i="42812"/>
  <c r="BO98" i="42812"/>
  <c r="P130" i="42812" a="1"/>
  <c r="AF108" i="42812"/>
  <c r="P272" i="42812" a="1"/>
  <c r="BY116" i="42812"/>
  <c r="AB104" i="42812"/>
  <c r="BA116" i="42812"/>
  <c r="P351" i="42812" a="1"/>
  <c r="Y78" i="42812"/>
  <c r="BP100" i="42812"/>
  <c r="P236" i="42812" a="1"/>
  <c r="AA113" i="42812"/>
  <c r="X99" i="42812"/>
  <c r="AT116" i="42812"/>
  <c r="AX105" i="42812"/>
  <c r="P660" i="42812" a="1"/>
  <c r="AA103" i="42812"/>
  <c r="P110" i="42812" a="1"/>
  <c r="P260" i="42812" a="1"/>
  <c r="BH111" i="42812"/>
  <c r="P141" i="42812" a="1"/>
  <c r="AZ114" i="42812"/>
  <c r="P378" i="42812" a="1"/>
  <c r="K82" i="42812"/>
  <c r="BE104" i="42812"/>
  <c r="P686" i="42812" a="1"/>
  <c r="P643" i="42812" a="1"/>
  <c r="AB112" i="42812"/>
  <c r="AJ97" i="42812"/>
  <c r="P402" i="42812" a="1"/>
  <c r="S69" i="42812"/>
  <c r="P505" i="42812" a="1"/>
  <c r="Y109" i="42812"/>
  <c r="P607" i="42812" a="1"/>
  <c r="AR114" i="42812"/>
  <c r="AJ99" i="42812"/>
  <c r="BR98" i="42812"/>
  <c r="Y66" i="42812"/>
  <c r="AZ113" i="42812"/>
  <c r="BF111" i="42812"/>
  <c r="P412" i="42812" a="1"/>
  <c r="W100" i="42812"/>
  <c r="BG100" i="42812"/>
  <c r="P438" i="42812" a="1"/>
  <c r="P360" i="42812" a="1"/>
  <c r="P645" i="42812" a="1"/>
  <c r="P610" i="42812" a="1"/>
  <c r="AT106" i="42812"/>
  <c r="P680" i="42812" a="1"/>
  <c r="P586" i="42812" a="1"/>
  <c r="P117" i="42812" a="1"/>
  <c r="BQ105" i="42812"/>
  <c r="P530" i="42812" a="1"/>
  <c r="W85" i="42812"/>
  <c r="AT104" i="42812"/>
  <c r="P689" i="42812" a="1"/>
  <c r="P575" i="42812" a="1"/>
  <c r="BF105" i="42812"/>
  <c r="I75" i="42812"/>
  <c r="K84" i="42812"/>
  <c r="P582" i="42812" a="1"/>
  <c r="I83" i="42812"/>
  <c r="BZ113" i="42812"/>
  <c r="AU116" i="42812"/>
  <c r="AS99" i="42812"/>
  <c r="Y82" i="42812"/>
  <c r="AB98" i="42812"/>
  <c r="BJ106" i="42812"/>
  <c r="BY113" i="42812"/>
  <c r="BW109" i="42812"/>
  <c r="S79" i="42812"/>
  <c r="BJ115" i="42812"/>
  <c r="U71" i="42812"/>
  <c r="P596" i="42812" a="1"/>
  <c r="BU112" i="42812"/>
  <c r="P229" i="42812" a="1"/>
  <c r="BU107" i="42812"/>
  <c r="BA103" i="42812"/>
  <c r="P149" i="42812" a="1"/>
  <c r="AW116" i="42812"/>
  <c r="P470" i="42812" a="1"/>
  <c r="P124" i="42812" a="1"/>
  <c r="P148" i="42812" a="1"/>
  <c r="P235" i="42812" a="1"/>
  <c r="BZ99" i="42812"/>
  <c r="V99" i="42812"/>
  <c r="P411" i="42812" a="1"/>
  <c r="P595" i="42812" a="1"/>
  <c r="BA104" i="42812"/>
  <c r="M84" i="42812"/>
  <c r="BU106" i="42812"/>
  <c r="AK101" i="42812"/>
  <c r="AY104" i="42812"/>
  <c r="AF103" i="42812"/>
  <c r="BJ100" i="42812"/>
  <c r="BV100" i="42812"/>
  <c r="BB109" i="42812"/>
  <c r="BJ114" i="42812"/>
  <c r="AU111" i="42812"/>
  <c r="BU108" i="42812"/>
  <c r="BF112" i="42812"/>
  <c r="AC100" i="42812"/>
  <c r="BZ107" i="42812"/>
  <c r="P238" i="42812" a="1"/>
  <c r="BB115" i="42812"/>
  <c r="P640" i="42812" a="1"/>
  <c r="G85" i="42812"/>
  <c r="P616" i="42812" a="1"/>
  <c r="AC98" i="42812"/>
  <c r="BE106" i="42812"/>
  <c r="AD102" i="42812"/>
  <c r="Y103" i="42812"/>
  <c r="BG97" i="42812"/>
  <c r="P348" i="42812" a="1"/>
  <c r="P316" i="42812" a="1"/>
  <c r="P585" i="42812" a="1"/>
  <c r="BW103" i="42812"/>
  <c r="BP102" i="42812"/>
  <c r="P565" i="42812" a="1"/>
  <c r="AD98" i="42812"/>
  <c r="BB108" i="42812"/>
  <c r="Z97" i="42812"/>
  <c r="P222" i="42812" a="1"/>
  <c r="P157" i="42812" a="1"/>
  <c r="AZ104" i="42812"/>
  <c r="U70" i="42812"/>
  <c r="P254" i="42812" a="1"/>
  <c r="S85" i="42812"/>
  <c r="AS106" i="42812"/>
  <c r="P277" i="42812" a="1"/>
  <c r="Q83" i="42812"/>
  <c r="CA112" i="42812"/>
  <c r="P545" i="42812" a="1"/>
  <c r="BY100" i="42812"/>
  <c r="P437" i="42812" a="1"/>
  <c r="P657" i="42812" a="1"/>
  <c r="CA97" i="42812"/>
  <c r="AC110" i="42812"/>
  <c r="BY115" i="42812"/>
  <c r="P132" i="42812" a="1"/>
  <c r="K79" i="42812"/>
  <c r="AT102" i="42812"/>
  <c r="BG113" i="42812"/>
  <c r="BJ112" i="42812"/>
  <c r="P288" i="42812" a="1"/>
  <c r="W74" i="42812"/>
  <c r="BU110" i="42812"/>
  <c r="AF112" i="42812"/>
  <c r="P490" i="42812" a="1"/>
  <c r="P166" i="42812" a="1"/>
  <c r="BX105" i="42812"/>
  <c r="P158" i="42812" a="1"/>
  <c r="AY110" i="42812"/>
  <c r="Q82" i="42812"/>
  <c r="BA111" i="42812"/>
  <c r="Z104" i="42812"/>
  <c r="I79" i="42812"/>
  <c r="BR116" i="42812"/>
  <c r="W72" i="42812"/>
  <c r="P577" i="42812" a="1"/>
  <c r="P461" i="42812" a="1"/>
  <c r="AJ104" i="42812"/>
  <c r="AS107" i="42812"/>
  <c r="AD112" i="42812"/>
  <c r="BZ115" i="42812"/>
  <c r="P549" i="42812" a="1"/>
  <c r="BP110" i="42812"/>
  <c r="P345" i="42812" a="1"/>
  <c r="BH98" i="42812"/>
  <c r="P523" i="42812" a="1"/>
  <c r="AJ107" i="42812"/>
  <c r="BU109" i="42812"/>
  <c r="P394" i="42812" a="1"/>
  <c r="U82" i="42812"/>
  <c r="P407" i="42812" a="1"/>
  <c r="Z116" i="42812"/>
  <c r="P113" i="42812" a="1"/>
  <c r="BR100" i="42812"/>
  <c r="BN97" i="42812"/>
  <c r="W83" i="42812"/>
  <c r="AY111" i="42812"/>
  <c r="X114" i="42812"/>
  <c r="AD110" i="42812"/>
  <c r="K71" i="42812"/>
  <c r="P568" i="42812" a="1"/>
  <c r="BO100" i="42812"/>
  <c r="P252" i="42812" a="1"/>
  <c r="AK100" i="42812"/>
  <c r="P612" i="42812" a="1"/>
  <c r="BV116" i="42812"/>
  <c r="BB110" i="42812"/>
  <c r="P512" i="42812" a="1"/>
  <c r="AX98" i="42812"/>
  <c r="P614" i="42812" a="1"/>
  <c r="P597" i="42812" a="1"/>
  <c r="P169" i="42812" a="1"/>
  <c r="I80" i="42812"/>
  <c r="P366" i="42812" a="1"/>
  <c r="P200" i="42812" a="1"/>
  <c r="AB107" i="42812"/>
  <c r="Y114" i="42812"/>
  <c r="AD116" i="42812"/>
  <c r="P567" i="42812" a="1"/>
  <c r="BU115" i="42812"/>
  <c r="AA100" i="42812"/>
  <c r="CA102" i="42812"/>
  <c r="P471" i="42812" a="1"/>
  <c r="BH114" i="42812"/>
  <c r="P123" i="42812" a="1"/>
  <c r="P423" i="42812" a="1"/>
  <c r="P629" i="42812" a="1"/>
  <c r="AI111" i="42812"/>
  <c r="BV106" i="42812"/>
  <c r="P562" i="42812" a="1"/>
  <c r="BO106" i="42812"/>
  <c r="BA99" i="42812"/>
  <c r="X103" i="42812"/>
  <c r="P462" i="42812" a="1"/>
  <c r="BQ104" i="42812"/>
  <c r="V103" i="42812"/>
  <c r="P195" i="42812" a="1"/>
  <c r="P382" i="42812" a="1"/>
  <c r="P688" i="42812" a="1"/>
  <c r="P368" i="42812" a="1"/>
  <c r="S82" i="42812"/>
  <c r="BO102" i="42812"/>
  <c r="P127" i="42812" a="1"/>
  <c r="P350" i="42812" a="1"/>
  <c r="AC109" i="42812"/>
  <c r="P221" i="42812" a="1"/>
  <c r="P521" i="42812" a="1"/>
  <c r="P214" i="42812" a="1"/>
  <c r="AH111" i="42812"/>
  <c r="K68" i="42812"/>
  <c r="AU106" i="42812"/>
  <c r="AV97" i="42812"/>
  <c r="P294" i="42812" a="1"/>
  <c r="X111" i="42812"/>
  <c r="AY98" i="42812"/>
  <c r="K78" i="42812"/>
  <c r="BN112" i="42812"/>
  <c r="P482" i="42812" a="1"/>
  <c r="AZ112" i="42812"/>
  <c r="AA116" i="42812"/>
  <c r="AR108" i="42812"/>
  <c r="P255" i="42812" a="1"/>
  <c r="P500" i="42812" a="1"/>
  <c r="BF104" i="42812"/>
  <c r="AB105" i="42812"/>
  <c r="P444" i="42812" a="1"/>
  <c r="AV108" i="42812"/>
  <c r="BF114" i="42812"/>
  <c r="BO97" i="42812"/>
  <c r="BO107" i="42812"/>
  <c r="Z113" i="42812"/>
  <c r="P283" i="42812" a="1"/>
  <c r="AB108" i="42812"/>
  <c r="W112" i="42812"/>
  <c r="P242" i="42812" a="1"/>
  <c r="BX103" i="42812"/>
  <c r="BY107" i="42812"/>
  <c r="BQ103" i="42812"/>
  <c r="P364" i="42812" a="1"/>
  <c r="AJ105" i="42812"/>
  <c r="G83" i="42812"/>
  <c r="M72" i="42812"/>
  <c r="P300" i="42812" a="1"/>
  <c r="BA107" i="42812"/>
  <c r="BK108" i="42812"/>
  <c r="P544" i="42812" a="1"/>
  <c r="AY109" i="42812"/>
  <c r="Y84" i="42812"/>
  <c r="AT115" i="42812"/>
  <c r="AX110" i="42812"/>
  <c r="P414" i="42812" a="1"/>
  <c r="P220" i="42812" a="1"/>
  <c r="Q72" i="42812"/>
  <c r="S75" i="42812"/>
  <c r="P237" i="42812" a="1"/>
  <c r="BC101" i="42812"/>
  <c r="W71" i="42812"/>
  <c r="AI98" i="42812"/>
  <c r="I78" i="42812"/>
  <c r="BP106" i="42812"/>
  <c r="P147" i="42812" a="1"/>
  <c r="BA113" i="42812"/>
  <c r="BX109" i="42812"/>
  <c r="BX113" i="42812"/>
  <c r="BC109" i="42812"/>
  <c r="P395" i="42812" a="1"/>
  <c r="P251" i="42812" a="1"/>
  <c r="P457" i="42812" a="1"/>
  <c r="P591" i="42812" a="1"/>
  <c r="AX113" i="42812"/>
  <c r="V97" i="42812"/>
  <c r="P445" i="42812" a="1"/>
  <c r="BY109" i="42812"/>
  <c r="BR103" i="42812"/>
  <c r="BK115" i="42812"/>
  <c r="BV109" i="42812"/>
  <c r="P618" i="42812" a="1"/>
  <c r="AF105" i="42812"/>
  <c r="P637" i="42812" a="1"/>
  <c r="BU105" i="42812"/>
  <c r="BJ105" i="42812"/>
  <c r="Y101" i="42812"/>
  <c r="Q66" i="42812"/>
  <c r="S76" i="42812"/>
  <c r="AS110" i="42812"/>
  <c r="Q85" i="42812"/>
  <c r="AY99" i="42812"/>
  <c r="BE114" i="42812"/>
  <c r="AK115" i="42812"/>
  <c r="V108" i="42812"/>
  <c r="AC99" i="42812"/>
  <c r="U79" i="42812"/>
  <c r="P559" i="42812" a="1"/>
  <c r="AH107" i="42812"/>
  <c r="AJ108" i="42812"/>
  <c r="X101" i="42812"/>
  <c r="I69" i="42812"/>
  <c r="AH110" i="42812"/>
  <c r="BI104" i="42812"/>
  <c r="AI113" i="42812"/>
  <c r="P320" i="42812" a="1"/>
  <c r="AX111" i="42812"/>
  <c r="AW110" i="42812"/>
  <c r="P617" i="42812" a="1"/>
  <c r="P679" i="42812" a="1"/>
  <c r="BW97" i="42812"/>
  <c r="P539" i="42812" a="1"/>
  <c r="AV105" i="42812"/>
  <c r="P122" i="42812" a="1"/>
  <c r="AK105" i="42812"/>
  <c r="P525" i="42812" a="1"/>
  <c r="AW111" i="42812"/>
  <c r="P527" i="42812" a="1"/>
  <c r="AV107" i="42812"/>
  <c r="BH105" i="42812"/>
  <c r="BV108" i="42812"/>
  <c r="AK109" i="42812"/>
  <c r="P399" i="42812" a="1"/>
  <c r="P537" i="42812" a="1"/>
  <c r="AT103" i="42812"/>
  <c r="AJ103" i="42812"/>
  <c r="AU115" i="42812"/>
  <c r="BR107" i="42812"/>
  <c r="P239" i="42812" a="1"/>
  <c r="W106" i="42812"/>
  <c r="P167" i="42812" a="1"/>
  <c r="P375" i="42812" a="1"/>
  <c r="Q76" i="42812"/>
  <c r="AU105" i="42812"/>
  <c r="W110" i="42812"/>
  <c r="Y81" i="42812"/>
  <c r="BO114" i="42812"/>
  <c r="BI113" i="42812"/>
  <c r="P314" i="42812" a="1"/>
  <c r="P633" i="42812" a="1"/>
  <c r="AV99" i="42812"/>
  <c r="AS112" i="42812"/>
  <c r="BB105" i="42812"/>
  <c r="BK109" i="42812"/>
  <c r="AV112" i="42812"/>
  <c r="P418" i="42812" a="1"/>
  <c r="BH97" i="42812"/>
  <c r="BG116" i="42812"/>
  <c r="BI103" i="42812"/>
  <c r="AV103" i="42812"/>
  <c r="M71" i="42812"/>
  <c r="Z98" i="42812"/>
  <c r="AR104" i="42812"/>
  <c r="BQ106" i="42812"/>
  <c r="CA101" i="42812"/>
  <c r="P509" i="42812" a="1"/>
  <c r="BP104" i="42812"/>
  <c r="AR100" i="42812"/>
  <c r="AH114" i="42812"/>
  <c r="P492" i="42812" a="1"/>
  <c r="P198" i="42812" a="1"/>
  <c r="X106" i="42812"/>
  <c r="P244" i="42812" a="1"/>
  <c r="P190" i="42812" a="1"/>
  <c r="P672" i="42812" a="1"/>
  <c r="BK98" i="42812"/>
  <c r="P409" i="42812" a="1"/>
  <c r="AW106" i="42812"/>
  <c r="K72" i="42812"/>
  <c r="W103" i="42812"/>
  <c r="P275" i="42812" a="1"/>
  <c r="X102" i="42812"/>
  <c r="P266" i="42812" a="1"/>
  <c r="P626" i="42812" a="1"/>
  <c r="P599" i="42812" a="1"/>
  <c r="X98" i="42812"/>
  <c r="BC108" i="42812"/>
  <c r="P206" i="42812" a="1"/>
  <c r="BX101" i="42812"/>
  <c r="P508" i="42812" a="1"/>
  <c r="AY106" i="42812"/>
  <c r="BC115" i="42812"/>
  <c r="BF107" i="42812"/>
  <c r="AX106" i="42812"/>
  <c r="AB100" i="42812"/>
  <c r="BE115" i="42812"/>
  <c r="P140" i="42812" a="1"/>
  <c r="S80" i="42812"/>
  <c r="P338" i="42812" a="1"/>
  <c r="M67" i="42812"/>
  <c r="AS108" i="42812"/>
  <c r="AT105" i="42812"/>
  <c r="BC97" i="42812"/>
  <c r="P647" i="42812" a="1"/>
  <c r="BJ102" i="42812"/>
  <c r="P359" i="42812" a="1"/>
  <c r="BY105" i="42812"/>
  <c r="P346" i="42812" a="1"/>
  <c r="P495" i="42812" a="1"/>
  <c r="X104" i="42812"/>
  <c r="P263" i="42812" a="1"/>
  <c r="Q68" i="42812"/>
  <c r="AS115" i="42812"/>
  <c r="P619" i="42812" a="1"/>
  <c r="AD104" i="42812"/>
  <c r="P319" i="42812" a="1"/>
  <c r="BP113" i="42812"/>
  <c r="BG115" i="42812"/>
  <c r="BO115" i="42812"/>
  <c r="P628" i="42812" a="1"/>
  <c r="AK102" i="42812"/>
  <c r="P317" i="42812" a="1"/>
  <c r="BN102" i="42812"/>
  <c r="BN106" i="42812"/>
  <c r="BN107" i="42812"/>
  <c r="P193" i="42812" a="1"/>
  <c r="AC111" i="42812"/>
  <c r="P578" i="42812" a="1"/>
  <c r="BO103" i="42812"/>
  <c r="BZ104" i="42812"/>
  <c r="P328" i="42812" a="1"/>
  <c r="BI97" i="42812"/>
  <c r="AH106" i="42812"/>
  <c r="AV106" i="42812"/>
  <c r="P326" i="42812" a="1"/>
  <c r="BB107" i="42812"/>
  <c r="AX114" i="42812"/>
  <c r="AF109" i="42812"/>
  <c r="P343" i="42812" a="1"/>
  <c r="P318" i="42812" a="1"/>
  <c r="U72" i="42812"/>
  <c r="P173" i="42812" a="1"/>
  <c r="S72" i="42812"/>
  <c r="BO110" i="42812"/>
  <c r="AK110" i="42812"/>
  <c r="G79" i="42812"/>
  <c r="P396" i="42812" a="1"/>
  <c r="AC116" i="42812"/>
  <c r="P164" i="42812" a="1"/>
  <c r="U78" i="42812"/>
  <c r="K85" i="42812"/>
  <c r="BU100" i="42812"/>
  <c r="S71" i="42812"/>
  <c r="P572" i="42812" a="1"/>
  <c r="AX109" i="42812"/>
  <c r="BK116" i="42812"/>
  <c r="BR97" i="42812"/>
  <c r="X105" i="42812"/>
  <c r="AH98" i="42812"/>
  <c r="AR110" i="42812"/>
  <c r="P663" i="42812" a="1"/>
  <c r="P436" i="42812" a="1"/>
  <c r="P622" i="42812" a="1"/>
  <c r="AR109" i="42812"/>
  <c r="BC111" i="42812"/>
  <c r="AR97" i="42812"/>
  <c r="AF107" i="42812"/>
  <c r="AC115" i="42812"/>
  <c r="S81" i="42812"/>
  <c r="BK106" i="42812"/>
  <c r="P102" i="42812" a="1"/>
  <c r="P413" i="42812" a="1"/>
  <c r="AT112" i="42812"/>
  <c r="K77" i="42812"/>
  <c r="AD103" i="42812"/>
  <c r="G67" i="42812"/>
  <c r="AU114" i="42812"/>
  <c r="AS103" i="42812"/>
  <c r="BZ103" i="42812"/>
  <c r="P459" i="42812" a="1"/>
  <c r="AU101" i="42812"/>
  <c r="Y74" i="42812"/>
  <c r="AU97" i="42812"/>
  <c r="BH108" i="42812"/>
  <c r="P175" i="42812" a="1"/>
  <c r="G80" i="42812"/>
  <c r="BU98" i="42812"/>
  <c r="I73" i="42812"/>
  <c r="BR113" i="42812"/>
  <c r="AH105" i="42812"/>
  <c r="P398" i="42812" a="1"/>
  <c r="P387" i="42812" a="1"/>
  <c r="P538" i="42812" a="1"/>
  <c r="K75" i="42812"/>
  <c r="P282" i="42812" a="1"/>
  <c r="AY107" i="42812"/>
  <c r="P165" i="42812" a="1"/>
  <c r="AK99" i="42812"/>
  <c r="AR111" i="42812"/>
  <c r="BI109" i="42812"/>
  <c r="P210" i="42812" a="1"/>
  <c r="Y107" i="42812"/>
  <c r="AU113" i="42812"/>
  <c r="BX100" i="42812"/>
  <c r="P347" i="42812" a="1"/>
  <c r="BF116" i="42812"/>
  <c r="P374" i="42812" a="1"/>
  <c r="AU99" i="42812"/>
  <c r="W116" i="42812"/>
  <c r="BZ108" i="42812"/>
  <c r="M69" i="42812"/>
  <c r="BU103" i="42812"/>
  <c r="BF115" i="42812"/>
  <c r="Y85" i="42812"/>
  <c r="P576" i="42812" a="1"/>
  <c r="BF108" i="42812"/>
  <c r="G76" i="42812"/>
  <c r="P516" i="42812" a="1"/>
  <c r="P276" i="42812" a="1"/>
  <c r="P372" i="42812" a="1"/>
  <c r="BC116" i="42812"/>
  <c r="P339" i="42812" a="1"/>
  <c r="BB99" i="42812"/>
  <c r="P389" i="42812" a="1"/>
  <c r="AJ116" i="42812"/>
  <c r="K70" i="42812"/>
  <c r="V106" i="42812"/>
  <c r="P332" i="42812" a="1"/>
  <c r="P337" i="42812" a="1"/>
  <c r="AB102" i="42812"/>
  <c r="P278" i="42812" a="1"/>
  <c r="AY100" i="42812"/>
  <c r="BG98" i="42812"/>
  <c r="P191" i="42812" a="1"/>
  <c r="P335" i="42812" a="1"/>
  <c r="P233" i="42812" a="1"/>
  <c r="BN105" i="42812"/>
  <c r="BG107" i="42812"/>
  <c r="BQ107" i="42812"/>
  <c r="P185" i="42812" a="1"/>
  <c r="AZ102" i="42812"/>
  <c r="Z105" i="42812"/>
  <c r="BP108" i="42812"/>
  <c r="AZ105" i="42812"/>
  <c r="BC104" i="42812"/>
  <c r="BI106" i="42812"/>
  <c r="BQ109" i="42812"/>
  <c r="P307" i="42812" a="1"/>
  <c r="AK104" i="42812"/>
  <c r="BV104" i="42812"/>
  <c r="P682" i="42812" a="1"/>
  <c r="Y112" i="42812"/>
  <c r="BZ102" i="42812"/>
  <c r="P563" i="42812" a="1"/>
  <c r="AC112" i="42812"/>
  <c r="AB116" i="42812"/>
  <c r="P676" i="42812" a="1"/>
  <c r="AT100" i="42812"/>
  <c r="P504" i="42812" a="1"/>
  <c r="AK97" i="42812"/>
  <c r="P305" i="42812" a="1"/>
  <c r="AD113" i="42812"/>
  <c r="P535" i="42812" a="1"/>
  <c r="Y97" i="42812"/>
  <c r="BY110" i="42812"/>
  <c r="AK106" i="42812"/>
  <c r="P493" i="42812" a="1"/>
  <c r="Q74" i="42812"/>
  <c r="BI108" i="42812"/>
  <c r="P329" i="42812" a="1"/>
  <c r="AI108" i="42812"/>
  <c r="BW112" i="42812"/>
  <c r="S70" i="42812"/>
  <c r="AK98" i="42812"/>
  <c r="BF113" i="42812"/>
  <c r="P274" i="42812" a="1"/>
  <c r="P362" i="42812" a="1"/>
  <c r="Y116" i="42812"/>
  <c r="BX114" i="42812"/>
  <c r="AS98" i="42812"/>
  <c r="X107" i="42812"/>
  <c r="P240" i="42812" a="1"/>
  <c r="P494" i="42812" a="1"/>
  <c r="P623" i="42812" a="1"/>
  <c r="BI114" i="42812"/>
  <c r="P534" i="42812" a="1"/>
  <c r="P128" i="42812" a="1"/>
  <c r="AW97" i="42812"/>
  <c r="AS114" i="42812"/>
  <c r="Y110" i="42812"/>
  <c r="BV102" i="42812"/>
  <c r="P625" i="42812" a="1"/>
  <c r="BV101" i="42812"/>
  <c r="P246" i="42812" a="1"/>
  <c r="AC114" i="42812"/>
  <c r="BJ109" i="42812"/>
  <c r="AF115" i="42812"/>
  <c r="P403" i="42812" a="1"/>
  <c r="AW103" i="42812"/>
  <c r="V112" i="42812"/>
  <c r="AF110" i="42812"/>
  <c r="P249" i="42812" a="1"/>
  <c r="AW109" i="42812"/>
  <c r="P230" i="42812" a="1"/>
  <c r="AY112" i="42812"/>
  <c r="P231" i="42812" a="1"/>
  <c r="P183" i="42812" a="1"/>
  <c r="P334" i="42812" a="1"/>
  <c r="AJ111" i="42812"/>
  <c r="P687" i="42812" a="1"/>
  <c r="AW99" i="42812"/>
  <c r="AX116" i="42812"/>
  <c r="P620" i="42812" a="1"/>
  <c r="P432" i="42812" a="1"/>
  <c r="P292" i="42812" a="1"/>
  <c r="AD114" i="42812"/>
  <c r="Y76" i="42812"/>
  <c r="P302" i="42812" a="1"/>
  <c r="BV111" i="42812"/>
  <c r="G81" i="42812"/>
  <c r="BU104" i="42812"/>
  <c r="W98" i="42812"/>
  <c r="G84" i="42812"/>
  <c r="P304" i="42812" a="1"/>
  <c r="AI97" i="42812"/>
  <c r="AW113" i="42812"/>
  <c r="BI99" i="42812"/>
  <c r="BY99" i="42812"/>
  <c r="BE116" i="42812"/>
  <c r="AR107" i="42812"/>
  <c r="AV109" i="42812"/>
  <c r="AR105" i="42812"/>
  <c r="BN108" i="42812"/>
  <c r="S74" i="42812"/>
  <c r="P501" i="42812" a="1"/>
  <c r="V114" i="42812"/>
  <c r="P208" i="42812" a="1"/>
  <c r="BX110" i="42812"/>
  <c r="AW104" i="42812"/>
  <c r="P465" i="42812" a="1"/>
  <c r="BX106" i="42812"/>
  <c r="P299" i="42812" a="1"/>
  <c r="G66" i="42812"/>
  <c r="Y105" i="42812"/>
  <c r="P630" i="42812" a="1"/>
  <c r="BG112" i="42812"/>
  <c r="AR113" i="42812"/>
  <c r="P376" i="42812" a="1"/>
  <c r="P137" i="42812" a="1"/>
  <c r="BO104" i="42812"/>
  <c r="BN100" i="42812"/>
  <c r="P453" i="42812" a="1"/>
  <c r="V107" i="42812"/>
  <c r="BQ111" i="42812"/>
  <c r="P580" i="42812" a="1"/>
  <c r="X110" i="42812"/>
  <c r="P213" i="42812" a="1"/>
  <c r="P520" i="42812" a="1"/>
  <c r="P425" i="42812" a="1"/>
  <c r="AC105" i="42812"/>
  <c r="BC100" i="42812"/>
  <c r="P486" i="42812" a="1"/>
  <c r="P323" i="42812" a="1"/>
  <c r="S84" i="42812"/>
  <c r="BJ98" i="42812"/>
  <c r="BA110" i="42812"/>
  <c r="BX102" i="42812"/>
  <c r="P156" i="42812" a="1"/>
  <c r="P138" i="42812" a="1"/>
  <c r="AF101" i="42812"/>
  <c r="P646" i="42812" a="1"/>
  <c r="BP116" i="42812"/>
  <c r="CA100" i="42812"/>
  <c r="BH102" i="42812"/>
  <c r="Y79" i="42812"/>
  <c r="BN103" i="42812"/>
  <c r="BB113" i="42812"/>
  <c r="BP105" i="42812"/>
  <c r="P473" i="42812" a="1"/>
  <c r="P268" i="42812" a="1"/>
  <c r="BE109" i="42812"/>
  <c r="BG102" i="42812"/>
  <c r="AS113" i="42812"/>
  <c r="K73" i="42812"/>
  <c r="P677" i="42812" a="1"/>
  <c r="BE98" i="42812"/>
  <c r="AU112" i="42812"/>
  <c r="P420" i="42812" a="1"/>
  <c r="P485" i="42812" a="1"/>
  <c r="AY102" i="42812"/>
  <c r="P650" i="42812" a="1"/>
  <c r="BI111" i="42812"/>
  <c r="P310" i="42812" a="1"/>
  <c r="BJ107" i="42812"/>
  <c r="BG104" i="42812"/>
  <c r="P269" i="42812" a="1"/>
  <c r="U66" i="42812"/>
  <c r="BI101" i="42812"/>
  <c r="P497" i="42812" a="1"/>
  <c r="Y67" i="42812"/>
  <c r="AZ103" i="42812"/>
  <c r="P303" i="42812" a="1"/>
  <c r="P216" i="42812" a="1"/>
  <c r="BE110" i="42812"/>
  <c r="W67" i="42812"/>
  <c r="BA97" i="42812"/>
  <c r="P105" i="42812" a="1"/>
  <c r="AH97" i="42812"/>
  <c r="BQ113" i="42812"/>
  <c r="P417" i="42812" a="1"/>
  <c r="BK97" i="42812"/>
  <c r="BW107" i="42812"/>
  <c r="BY111" i="42812"/>
  <c r="P690" i="42812" a="1"/>
  <c r="BX108" i="42812"/>
  <c r="Y104" i="42812"/>
  <c r="BQ101" i="42812"/>
  <c r="AD105" i="42812"/>
  <c r="AA98" i="42812"/>
  <c r="P297" i="42812" a="1"/>
  <c r="AC103" i="42812"/>
  <c r="AA104" i="42812"/>
  <c r="AZ115" i="42812"/>
  <c r="BY106" i="42812"/>
  <c r="AJ115" i="42812"/>
  <c r="BF109" i="42812"/>
  <c r="AC102" i="42812"/>
  <c r="I67" i="42812"/>
  <c r="P653" i="42812" a="1"/>
  <c r="AK107" i="42812"/>
  <c r="AR98" i="42812"/>
  <c r="P488" i="42812" a="1"/>
  <c r="P133" i="42812" a="1"/>
  <c r="P458" i="42812" a="1"/>
  <c r="AA101" i="42812"/>
  <c r="W73" i="42812"/>
  <c r="AS97" i="42812"/>
  <c r="BW100" i="42812"/>
  <c r="AI110" i="42812"/>
  <c r="P261" i="42812" a="1"/>
  <c r="P321" i="42812" a="1"/>
  <c r="AD109" i="42812"/>
  <c r="P342" i="42812" a="1"/>
  <c r="AW108" i="42812"/>
  <c r="BB103" i="42812"/>
  <c r="W107" i="42812"/>
  <c r="P273" i="42812" a="1"/>
  <c r="BP109" i="42812"/>
  <c r="P449" i="42812" a="1"/>
  <c r="P430" i="42812" a="1"/>
  <c r="BC98" i="42812"/>
  <c r="BZ109" i="42812"/>
  <c r="P581" i="42812" a="1"/>
  <c r="AI105" i="42812"/>
  <c r="Z99" i="42812"/>
  <c r="AX115" i="42812"/>
  <c r="P592" i="42812" a="1"/>
  <c r="AH112" i="42812"/>
  <c r="P358" i="42812" a="1"/>
  <c r="AC97" i="42812"/>
  <c r="U69" i="42812"/>
  <c r="BO112" i="42812"/>
  <c r="AB97" i="42812"/>
  <c r="AU107" i="42812"/>
  <c r="K76" i="42812"/>
  <c r="BR115" i="42812"/>
  <c r="AI115" i="42812"/>
  <c r="V105" i="42812"/>
  <c r="AJ114" i="42812"/>
  <c r="AH104" i="42812"/>
  <c r="BI102" i="42812"/>
  <c r="P371" i="42812" a="1"/>
  <c r="P429" i="42812" a="1"/>
  <c r="Z101" i="42812"/>
  <c r="BW111" i="42812"/>
  <c r="AB113" i="42812"/>
  <c r="AD111" i="42812"/>
  <c r="I82" i="42812"/>
  <c r="P507" i="42812" a="1"/>
  <c r="P466" i="42812" a="1"/>
  <c r="AZ108" i="42812"/>
  <c r="BP98" i="42812"/>
  <c r="P379" i="42812" a="1"/>
  <c r="V109" i="42812"/>
  <c r="P225" i="42812" a="1"/>
  <c r="W76" i="42812"/>
  <c r="AZ101" i="42812"/>
  <c r="P467" i="42812" a="1"/>
  <c r="M79" i="42812"/>
  <c r="P172" i="42812" a="1"/>
  <c r="P224" i="42812" a="1"/>
  <c r="AT101" i="42812"/>
  <c r="P506" i="42812" a="1"/>
  <c r="P109" i="42812" a="1"/>
  <c r="P397" i="42812" a="1"/>
  <c r="BR99" i="42812"/>
  <c r="AI102" i="42812"/>
  <c r="BF98" i="42812"/>
  <c r="W104" i="42812"/>
  <c r="P552" i="42812" a="1"/>
  <c r="AC108" i="42812"/>
  <c r="BH112" i="42812"/>
  <c r="P476" i="42812" a="1"/>
  <c r="BY103" i="42812"/>
  <c r="AV116" i="42812"/>
  <c r="AY97" i="42812"/>
  <c r="P671" i="42812" a="1"/>
  <c r="BO101" i="42812"/>
  <c r="P613" i="42812" a="1"/>
  <c r="CA99" i="42812"/>
  <c r="P201" i="42812" a="1"/>
  <c r="U67" i="42812"/>
  <c r="Z114" i="42812"/>
  <c r="BC113" i="42812"/>
  <c r="AH101" i="42812"/>
  <c r="P439" i="42812" a="1"/>
  <c r="AR106" i="42812"/>
  <c r="BX99" i="42812"/>
  <c r="BW113" i="42812"/>
  <c r="P665" i="42812" a="1"/>
  <c r="BZ101" i="42812"/>
  <c r="P574" i="42812" a="1"/>
  <c r="P93" i="42812" a="1"/>
  <c r="P291" i="42812" a="1"/>
  <c r="P189" i="42812" a="1"/>
  <c r="G69" i="42812"/>
  <c r="BH101" i="42812"/>
  <c r="CA107" i="42812"/>
  <c r="M78" i="42812"/>
  <c r="BK114" i="42812"/>
  <c r="P649" i="42812" a="1"/>
  <c r="U76" i="42812"/>
  <c r="P296" i="42812" a="1"/>
  <c r="AU108" i="42812"/>
  <c r="BU116" i="42812"/>
  <c r="AS100" i="42812"/>
  <c r="AZ107" i="42812"/>
  <c r="P212" i="42812" a="1"/>
  <c r="W114" i="42812"/>
  <c r="P685" i="42812" a="1"/>
  <c r="P205" i="42812" a="1"/>
  <c r="AI116" i="42812"/>
  <c r="U68" i="42812"/>
  <c r="CA103" i="42812"/>
  <c r="BG114" i="42812"/>
  <c r="U85" i="42812"/>
  <c r="P95" i="42812" a="1"/>
  <c r="P434" i="42812" a="1"/>
  <c r="P94" i="42812" a="1"/>
  <c r="P605" i="42812" a="1"/>
  <c r="G68" i="42812"/>
  <c r="BE102" i="42812"/>
  <c r="BI105" i="42812"/>
  <c r="P678" i="42812" a="1"/>
  <c r="P454" i="42812" a="1"/>
  <c r="P498" i="42812" a="1"/>
  <c r="G71" i="42812"/>
  <c r="P393" i="42812" a="1"/>
  <c r="AH99" i="42812"/>
  <c r="P658" i="42812" a="1"/>
  <c r="BA98" i="42812"/>
  <c r="AV98" i="42812"/>
  <c r="BG109" i="42812"/>
  <c r="W111" i="42812"/>
  <c r="AH109" i="42812"/>
  <c r="I76" i="42812"/>
  <c r="AT111" i="42812"/>
  <c r="P311" i="42812" a="1"/>
  <c r="P129" i="42812" a="1"/>
  <c r="P463" i="42812" a="1"/>
  <c r="BO116" i="42812"/>
  <c r="BR110" i="42812"/>
  <c r="P489" i="42812" a="1"/>
  <c r="AH115" i="42812"/>
  <c r="P564" i="42812" a="1"/>
  <c r="P108" i="42812" a="1"/>
  <c r="BJ103" i="42812"/>
  <c r="AV111" i="42812"/>
  <c r="AT114" i="42812"/>
  <c r="P227" i="42812" a="1"/>
  <c r="AA97" i="42812"/>
  <c r="BK105" i="42812"/>
  <c r="X108" i="42812"/>
  <c r="BX107" i="42812"/>
  <c r="Y69" i="42812"/>
  <c r="P667" i="42812" a="1"/>
  <c r="V110" i="42812"/>
  <c r="P218" i="42812" a="1"/>
  <c r="BY108" i="42812"/>
  <c r="P143" i="42812" a="1"/>
  <c r="U80" i="42812"/>
  <c r="P664" i="42812" a="1"/>
  <c r="Z112" i="42812"/>
  <c r="P405" i="42812" a="1"/>
  <c r="P265" i="42812" a="1"/>
  <c r="W69" i="42812"/>
  <c r="BV115" i="42812"/>
  <c r="P408" i="42812" a="1"/>
  <c r="P639" i="42812" a="1"/>
  <c r="P101" i="42812" a="1"/>
  <c r="AI114" i="42812"/>
  <c r="P609" i="42812" a="1"/>
  <c r="BE100" i="42812"/>
  <c r="BC105" i="42812"/>
  <c r="P594" i="42812" a="1"/>
  <c r="BF101" i="42812"/>
  <c r="U74" i="42812"/>
  <c r="CA115" i="42812"/>
  <c r="BY101" i="42812"/>
  <c r="P566" i="42812" a="1"/>
  <c r="AC113" i="42812"/>
  <c r="AY115" i="42812"/>
  <c r="AD115" i="42812"/>
  <c r="V116" i="42812"/>
  <c r="AA105" i="42812"/>
  <c r="S66" i="42812"/>
  <c r="AR116" i="42812"/>
  <c r="BH115" i="42812"/>
  <c r="P270" i="42812" a="1"/>
  <c r="BI100" i="42812"/>
  <c r="P267" i="42812" a="1"/>
  <c r="P116" i="42812" a="1"/>
  <c r="M74" i="42812"/>
  <c r="AW115" i="42812"/>
  <c r="BH113" i="42812"/>
  <c r="P344" i="42812" a="1"/>
  <c r="P587" i="42812" a="1"/>
  <c r="I72" i="42812"/>
  <c r="P154" i="42812" a="1"/>
  <c r="BA102" i="42812"/>
  <c r="W115" i="42812"/>
  <c r="BC107" i="42812"/>
  <c r="P215" i="42812" a="1"/>
  <c r="P281" i="42812" a="1"/>
  <c r="Y115" i="42812"/>
  <c r="BO109" i="42812"/>
  <c r="BJ99" i="42812"/>
  <c r="BG103" i="42812"/>
  <c r="P553" i="42812" a="1"/>
  <c r="P456" i="42812" a="1"/>
  <c r="P373" i="42812" a="1"/>
  <c r="AH113" i="42812"/>
  <c r="BZ98" i="42812"/>
  <c r="P377" i="42812" a="1"/>
  <c r="Q69" i="42812"/>
  <c r="P131" i="42812" a="1"/>
  <c r="P390" i="42812" a="1"/>
  <c r="P556" i="42812" a="1"/>
  <c r="Y113" i="42812"/>
  <c r="BQ115" i="42812"/>
  <c r="X116" i="42812"/>
  <c r="BI98" i="42812"/>
  <c r="P641" i="42812" a="1"/>
  <c r="P192" i="42812" a="1"/>
  <c r="M77" i="42812"/>
  <c r="BJ97" i="42812"/>
  <c r="S78" i="42812"/>
  <c r="P514" i="42812" a="1"/>
  <c r="BO111" i="42812"/>
  <c r="AV110" i="42812"/>
  <c r="Y108" i="42812"/>
  <c r="BB111" i="42812"/>
  <c r="P558" i="42812" a="1"/>
  <c r="AK116" i="42812"/>
  <c r="AV100" i="42812"/>
  <c r="P228" i="42812" a="1"/>
  <c r="P533" i="42812" a="1"/>
  <c r="P243" i="42812" a="1"/>
  <c r="P333" i="42812" a="1"/>
  <c r="P103" i="42812" a="1"/>
  <c r="BZ112" i="42812"/>
  <c r="G82" i="42812"/>
  <c r="P203" i="42812" a="1"/>
  <c r="P634" i="42812" a="1"/>
  <c r="AS111" i="42812"/>
  <c r="AW105" i="42812"/>
  <c r="BG105" i="42812"/>
  <c r="AS105" i="42812"/>
  <c r="BH110" i="42812"/>
  <c r="P450" i="42812" a="1"/>
  <c r="P152" i="42812" a="1"/>
  <c r="BX97" i="42812"/>
  <c r="P336" i="42812" a="1"/>
  <c r="P589" i="42812" a="1"/>
  <c r="CA111" i="42812"/>
  <c r="G74" i="42812"/>
  <c r="Z106" i="42812"/>
  <c r="BE112" i="42812"/>
  <c r="BV103" i="42812"/>
  <c r="P540" i="42812" a="1"/>
  <c r="AX112" i="42812"/>
  <c r="AJ110" i="42812"/>
  <c r="P468" i="42812" a="1"/>
  <c r="P134" i="42812" a="1"/>
  <c r="X97" i="42812"/>
  <c r="BH103" i="42812"/>
  <c r="Y72" i="42812"/>
  <c r="P570" i="42812" a="1"/>
  <c r="P289" i="42812" a="1"/>
  <c r="BW104" i="42812"/>
  <c r="P615" i="42812" a="1"/>
  <c r="AV104" i="42812"/>
  <c r="BG111" i="42812"/>
  <c r="BN101" i="42812"/>
  <c r="BJ104" i="42812"/>
  <c r="AV102" i="42812"/>
  <c r="P428" i="42812" a="1"/>
  <c r="AW102" i="42812"/>
  <c r="P442" i="42812" a="1"/>
  <c r="BH104" i="42812"/>
  <c r="I71" i="42812"/>
  <c r="P674" i="42812" a="1"/>
  <c r="P340" i="42812" a="1"/>
  <c r="AD101" i="42812"/>
  <c r="BF103" i="42812"/>
  <c r="BK110" i="42812"/>
  <c r="P588" i="42812" a="1"/>
  <c r="P595" i="42812" l="1"/>
  <c r="P574" i="42812"/>
  <c r="P577" i="42812"/>
  <c r="P585" i="42812"/>
  <c r="P572" i="42812"/>
  <c r="P599" i="42812"/>
  <c r="P600" i="42812"/>
  <c r="P590" i="42812"/>
  <c r="P575" i="42812"/>
  <c r="P589" i="42812"/>
  <c r="P592" i="42812"/>
  <c r="P576" i="42812"/>
  <c r="P579" i="42812"/>
  <c r="P582" i="42812"/>
  <c r="P581" i="42812"/>
  <c r="P596" i="42812"/>
  <c r="P587" i="42812"/>
  <c r="P583" i="42812"/>
  <c r="P593" i="42812"/>
  <c r="P573" i="42812"/>
  <c r="P584" i="42812"/>
  <c r="P580" i="42812"/>
  <c r="P578" i="42812"/>
  <c r="P598" i="42812"/>
  <c r="P594" i="42812"/>
  <c r="P597" i="42812"/>
  <c r="P586" i="42812"/>
  <c r="P588" i="42812"/>
  <c r="P591" i="42812"/>
  <c r="P547" i="42812"/>
  <c r="P555" i="42812"/>
  <c r="P548" i="42812"/>
  <c r="P556" i="42812"/>
  <c r="P551" i="42812"/>
  <c r="P550" i="42812"/>
  <c r="P544" i="42812"/>
  <c r="P563" i="42812"/>
  <c r="P562" i="42812"/>
  <c r="P565" i="42812"/>
  <c r="P542" i="42812"/>
  <c r="P561" i="42812"/>
  <c r="P559" i="42812"/>
  <c r="P546" i="42812"/>
  <c r="P564" i="42812"/>
  <c r="P568" i="42812"/>
  <c r="P567" i="42812"/>
  <c r="P566" i="42812"/>
  <c r="P552" i="42812"/>
  <c r="P553" i="42812"/>
  <c r="P569" i="42812"/>
  <c r="P557" i="42812"/>
  <c r="P554" i="42812"/>
  <c r="P277" i="42812"/>
  <c r="P295" i="42812"/>
  <c r="P282" i="42812"/>
  <c r="P286" i="42812"/>
  <c r="P288" i="42812"/>
  <c r="P296" i="42812"/>
  <c r="P284" i="42812"/>
  <c r="P300" i="42812"/>
  <c r="P287" i="42812"/>
  <c r="P275" i="42812"/>
  <c r="P292" i="42812"/>
  <c r="P291" i="42812"/>
  <c r="P290" i="42812"/>
  <c r="P297" i="42812"/>
  <c r="P283" i="42812"/>
  <c r="P281" i="42812"/>
  <c r="P279" i="42812"/>
  <c r="P276" i="42812"/>
  <c r="P293" i="42812"/>
  <c r="P273" i="42812"/>
  <c r="P274" i="42812"/>
  <c r="P298" i="42812"/>
  <c r="P285" i="42812"/>
  <c r="P347" i="42812"/>
  <c r="P345" i="42812"/>
  <c r="P335" i="42812"/>
  <c r="P350" i="42812"/>
  <c r="P346" i="42812"/>
  <c r="P340" i="42812"/>
  <c r="P339" i="42812"/>
  <c r="P341" i="42812"/>
  <c r="P356" i="42812"/>
  <c r="P353" i="42812"/>
  <c r="P351" i="42812"/>
  <c r="P352" i="42812"/>
  <c r="P359" i="42812"/>
  <c r="P360" i="42812"/>
  <c r="P336" i="42812"/>
  <c r="P354" i="42812"/>
  <c r="P348" i="42812"/>
  <c r="P349" i="42812"/>
  <c r="P358" i="42812"/>
  <c r="P343" i="42812"/>
  <c r="P333" i="42812"/>
  <c r="P334" i="42812"/>
  <c r="P624" i="42812"/>
  <c r="P616" i="42812"/>
  <c r="P620" i="42812"/>
  <c r="P622" i="42812"/>
  <c r="P613" i="42812"/>
  <c r="P630" i="42812"/>
  <c r="P602" i="42812"/>
  <c r="P605" i="42812"/>
  <c r="P625" i="42812"/>
  <c r="P615" i="42812"/>
  <c r="P627" i="42812"/>
  <c r="P619" i="42812"/>
  <c r="P617" i="42812"/>
  <c r="P610" i="42812"/>
  <c r="P609" i="42812"/>
  <c r="P618" i="42812"/>
  <c r="P607" i="42812"/>
  <c r="P621" i="42812"/>
  <c r="P628" i="42812"/>
  <c r="P608" i="42812"/>
  <c r="P689" i="42812"/>
  <c r="P688" i="42812"/>
  <c r="P669" i="42812"/>
  <c r="P685" i="42812"/>
  <c r="P675" i="42812"/>
  <c r="P671" i="42812"/>
  <c r="P667" i="42812"/>
  <c r="P664" i="42812"/>
  <c r="P674" i="42812"/>
  <c r="P681" i="42812"/>
  <c r="P666" i="42812"/>
  <c r="P680" i="42812"/>
  <c r="P665" i="42812"/>
  <c r="P679" i="42812"/>
  <c r="P662" i="42812"/>
  <c r="P668" i="42812"/>
  <c r="P676" i="42812"/>
  <c r="P682" i="42812"/>
  <c r="P677" i="42812"/>
  <c r="P683" i="42812"/>
  <c r="P184" i="42812"/>
  <c r="P189" i="42812"/>
  <c r="P199" i="42812"/>
  <c r="P185" i="42812"/>
  <c r="P191" i="42812"/>
  <c r="P210" i="42812"/>
  <c r="P203" i="42812"/>
  <c r="P208" i="42812"/>
  <c r="P190" i="42812"/>
  <c r="P193" i="42812"/>
  <c r="P186" i="42812"/>
  <c r="P209" i="42812"/>
  <c r="P194" i="42812"/>
  <c r="P206" i="42812"/>
  <c r="P195" i="42812"/>
  <c r="P187" i="42812"/>
  <c r="P196" i="42812"/>
  <c r="P192" i="42812"/>
  <c r="P204" i="42812"/>
  <c r="P205" i="42812"/>
  <c r="P197" i="42812"/>
  <c r="P183" i="42812"/>
  <c r="P201" i="42812"/>
  <c r="P472" i="42812"/>
  <c r="P474" i="42812"/>
  <c r="P471" i="42812"/>
  <c r="P455" i="42812"/>
  <c r="P475" i="42812"/>
  <c r="P458" i="42812"/>
  <c r="P466" i="42812"/>
  <c r="P479" i="42812"/>
  <c r="P473" i="42812"/>
  <c r="P477" i="42812"/>
  <c r="P452" i="42812"/>
  <c r="P457" i="42812"/>
  <c r="P467" i="42812"/>
  <c r="P463" i="42812"/>
  <c r="P465" i="42812"/>
  <c r="P476" i="42812"/>
  <c r="P468" i="42812"/>
  <c r="P138" i="42812"/>
  <c r="P142" i="42812"/>
  <c r="P132" i="42812"/>
  <c r="P148" i="42812"/>
  <c r="P144" i="42812"/>
  <c r="P124" i="42812"/>
  <c r="P122" i="42812"/>
  <c r="P145" i="42812"/>
  <c r="P136" i="42812"/>
  <c r="P125" i="42812"/>
  <c r="P149" i="42812"/>
  <c r="P128" i="42812"/>
  <c r="P127" i="42812"/>
  <c r="P126" i="42812"/>
  <c r="P131" i="42812"/>
  <c r="P143" i="42812"/>
  <c r="P140" i="42812"/>
  <c r="P224" i="42812"/>
  <c r="P216" i="42812"/>
  <c r="P234" i="42812"/>
  <c r="P237" i="42812"/>
  <c r="P240" i="42812"/>
  <c r="P225" i="42812"/>
  <c r="P232" i="42812"/>
  <c r="P219" i="42812"/>
  <c r="P239" i="42812"/>
  <c r="P228" i="42812"/>
  <c r="P238" i="42812"/>
  <c r="P221" i="42812"/>
  <c r="P218" i="42812"/>
  <c r="P229" i="42812"/>
  <c r="P215" i="42812"/>
  <c r="P226" i="42812"/>
  <c r="P528" i="42812"/>
  <c r="P529" i="42812"/>
  <c r="P522" i="42812"/>
  <c r="P514" i="42812"/>
  <c r="P526" i="42812"/>
  <c r="P518" i="42812"/>
  <c r="P536" i="42812"/>
  <c r="P656" i="42812"/>
  <c r="P653" i="42812"/>
  <c r="P647" i="42812"/>
  <c r="P638" i="42812"/>
  <c r="P648" i="42812"/>
  <c r="P643" i="42812"/>
  <c r="P642" i="42812"/>
  <c r="P632" i="42812"/>
  <c r="P654" i="42812"/>
  <c r="P639" i="42812"/>
  <c r="P645" i="42812"/>
  <c r="P649" i="42812"/>
  <c r="P659" i="42812"/>
  <c r="P644" i="42812"/>
  <c r="P660" i="42812"/>
  <c r="P635" i="42812"/>
  <c r="P406" i="42812"/>
  <c r="P393" i="42812"/>
  <c r="P411" i="42812"/>
  <c r="P416" i="42812"/>
  <c r="P397" i="42812"/>
  <c r="P394" i="42812"/>
  <c r="P403" i="42812"/>
  <c r="P399" i="42812"/>
  <c r="P407" i="42812"/>
  <c r="P404" i="42812"/>
  <c r="P419" i="42812"/>
  <c r="P448" i="42812"/>
  <c r="P439" i="42812"/>
  <c r="P449" i="42812"/>
  <c r="P425" i="42812"/>
  <c r="P428" i="42812"/>
  <c r="P431" i="42812"/>
  <c r="P450" i="42812"/>
  <c r="P100" i="42812"/>
  <c r="P119" i="42812"/>
  <c r="P105" i="42812"/>
  <c r="P113" i="42812"/>
  <c r="P96" i="42812"/>
  <c r="P103" i="42812"/>
  <c r="P111" i="42812"/>
  <c r="P114" i="42812"/>
  <c r="P109" i="42812"/>
  <c r="P155" i="42812"/>
  <c r="P174" i="42812"/>
  <c r="P167" i="42812"/>
  <c r="P161" i="42812"/>
  <c r="P179" i="42812"/>
  <c r="P163" i="42812"/>
  <c r="P178" i="42812"/>
  <c r="P157" i="42812"/>
  <c r="P169" i="42812"/>
  <c r="P492" i="42812"/>
  <c r="P485" i="42812"/>
  <c r="P487" i="42812"/>
  <c r="P502" i="42812"/>
  <c r="P508" i="42812"/>
  <c r="P507" i="42812"/>
  <c r="P509" i="42812"/>
  <c r="P486" i="42812"/>
  <c r="P510" i="42812"/>
  <c r="P488" i="42812"/>
  <c r="P267" i="42812"/>
  <c r="P611" i="42812"/>
  <c r="M595" i="42812"/>
  <c r="L599" i="42812" a="1"/>
  <c r="L599" i="42812" s="1"/>
  <c r="L586" i="42812" a="1"/>
  <c r="L586" i="42812" s="1"/>
  <c r="M588" i="42812"/>
  <c r="L595" i="42812" a="1"/>
  <c r="L595" i="42812" s="1"/>
  <c r="M584" i="42812"/>
  <c r="M590" i="42812"/>
  <c r="M576" i="42812"/>
  <c r="M597" i="42812"/>
  <c r="M596" i="42812"/>
  <c r="M578" i="42812"/>
  <c r="L598" i="42812" a="1"/>
  <c r="L598" i="42812" s="1"/>
  <c r="L585" i="42812" a="1"/>
  <c r="L585" i="42812" s="1"/>
  <c r="L600" i="42812" a="1"/>
  <c r="L600" i="42812" s="1"/>
  <c r="L572" i="42812" a="1"/>
  <c r="L572" i="42812" s="1"/>
  <c r="L577" i="42812" a="1"/>
  <c r="L577" i="42812" s="1"/>
  <c r="L591" i="42812" a="1"/>
  <c r="L591" i="42812" s="1"/>
  <c r="L588" i="42812" a="1"/>
  <c r="L588" i="42812" s="1"/>
  <c r="M573" i="42812"/>
  <c r="M582" i="42812"/>
  <c r="L580" i="42812" a="1"/>
  <c r="L580" i="42812" s="1"/>
  <c r="M585" i="42812"/>
  <c r="M599" i="42812"/>
  <c r="M598" i="42812"/>
  <c r="L573" i="42812" a="1"/>
  <c r="L573" i="42812" s="1"/>
  <c r="L583" i="42812" a="1"/>
  <c r="L583" i="42812" s="1"/>
  <c r="M574" i="42812"/>
  <c r="L597" i="42812" a="1"/>
  <c r="L597" i="42812" s="1"/>
  <c r="L592" i="42812" a="1"/>
  <c r="L592" i="42812" s="1"/>
  <c r="M571" i="42812"/>
  <c r="L594" i="42812" a="1"/>
  <c r="L594" i="42812" s="1"/>
  <c r="L589" i="42812" a="1"/>
  <c r="L589" i="42812" s="1"/>
  <c r="L593" i="42812" a="1"/>
  <c r="L593" i="42812" s="1"/>
  <c r="M572" i="42812"/>
  <c r="M592" i="42812"/>
  <c r="M583" i="42812"/>
  <c r="L587" i="42812" a="1"/>
  <c r="L587" i="42812" s="1"/>
  <c r="L576" i="42812" a="1"/>
  <c r="L576" i="42812" s="1"/>
  <c r="M581" i="42812"/>
  <c r="M579" i="42812"/>
  <c r="M580" i="42812"/>
  <c r="M586" i="42812"/>
  <c r="L582" i="42812" a="1"/>
  <c r="L582" i="42812" s="1"/>
  <c r="L574" i="42812" a="1"/>
  <c r="L574" i="42812" s="1"/>
  <c r="M575" i="42812"/>
  <c r="M587" i="42812"/>
  <c r="L575" i="42812" a="1"/>
  <c r="L575" i="42812" s="1"/>
  <c r="M591" i="42812"/>
  <c r="M577" i="42812"/>
  <c r="M594" i="42812"/>
  <c r="M589" i="42812"/>
  <c r="L590" i="42812" a="1"/>
  <c r="L590" i="42812" s="1"/>
  <c r="L578" i="42812" a="1"/>
  <c r="L578" i="42812" s="1"/>
  <c r="L596" i="42812" a="1"/>
  <c r="L596" i="42812" s="1"/>
  <c r="M593" i="42812"/>
  <c r="L584" i="42812" a="1"/>
  <c r="L584" i="42812" s="1"/>
  <c r="M600" i="42812"/>
  <c r="L579" i="42812" a="1"/>
  <c r="L579" i="42812" s="1"/>
  <c r="L581" i="42812" a="1"/>
  <c r="L581" i="42812" s="1"/>
  <c r="BD117" i="42812"/>
  <c r="K31" i="42790" s="1"/>
  <c r="BD118" i="42812"/>
  <c r="L31" i="42790" s="1"/>
  <c r="BE117" i="42812"/>
  <c r="BE118" i="42812"/>
  <c r="P278" i="42812"/>
  <c r="P147" i="42812"/>
  <c r="P146" i="42812"/>
  <c r="P570" i="42812"/>
  <c r="AB76" i="42812"/>
  <c r="AA76" i="42812"/>
  <c r="AL76" i="42812"/>
  <c r="H76" i="42812"/>
  <c r="P257" i="42812"/>
  <c r="Z71" i="42812"/>
  <c r="X78" i="42812"/>
  <c r="AP78" i="42812"/>
  <c r="AA66" i="42812"/>
  <c r="H66" i="42812"/>
  <c r="AB66" i="42812"/>
  <c r="G86" i="42812"/>
  <c r="AL66" i="42812"/>
  <c r="P658" i="42812"/>
  <c r="P92" i="42812"/>
  <c r="AM72" i="42812"/>
  <c r="L72" i="42812"/>
  <c r="T72" i="42812"/>
  <c r="AO72" i="42812"/>
  <c r="P332" i="42812"/>
  <c r="R67" i="42812"/>
  <c r="AN67" i="42812"/>
  <c r="P67" i="42812"/>
  <c r="P412" i="42812"/>
  <c r="P272" i="42812"/>
  <c r="P396" i="42812"/>
  <c r="P294" i="42812"/>
  <c r="P459" i="42812"/>
  <c r="P150" i="42812"/>
  <c r="AD81" i="42812"/>
  <c r="J81" i="42812"/>
  <c r="N67" i="42812"/>
  <c r="P305" i="42812"/>
  <c r="W117" i="42812"/>
  <c r="W118" i="42812"/>
  <c r="P322" i="42812"/>
  <c r="P223" i="42812"/>
  <c r="P139" i="42812"/>
  <c r="AP71" i="42812"/>
  <c r="X71" i="42812"/>
  <c r="P168" i="42812"/>
  <c r="P392" i="42812"/>
  <c r="P222" i="42812"/>
  <c r="P560" i="42812"/>
  <c r="P494" i="42812"/>
  <c r="P558" i="42812"/>
  <c r="P366" i="42812"/>
  <c r="P137" i="42812"/>
  <c r="P603" i="42812"/>
  <c r="P101" i="42812"/>
  <c r="P182" i="42812"/>
  <c r="P641" i="42812"/>
  <c r="T80" i="42812"/>
  <c r="AO80" i="42812"/>
  <c r="N71" i="42812"/>
  <c r="V117" i="42812"/>
  <c r="U117" i="42812"/>
  <c r="K27" i="42790" s="1"/>
  <c r="U118" i="42812"/>
  <c r="L27" i="42790" s="1"/>
  <c r="V118" i="42812"/>
  <c r="AN76" i="42812"/>
  <c r="R76" i="42812"/>
  <c r="P76" i="42812"/>
  <c r="P626" i="42812"/>
  <c r="R81" i="42812"/>
  <c r="AN81" i="42812"/>
  <c r="P81" i="42812"/>
  <c r="P422" i="42812"/>
  <c r="P83" i="42812"/>
  <c r="AN83" i="42812"/>
  <c r="R83" i="42812"/>
  <c r="BH117" i="42812"/>
  <c r="BH118" i="42812"/>
  <c r="P188" i="42812"/>
  <c r="P368" i="42812"/>
  <c r="P527" i="42812"/>
  <c r="P135" i="42812"/>
  <c r="N81" i="42812"/>
  <c r="P344" i="42812"/>
  <c r="AN75" i="42812"/>
  <c r="P75" i="42812"/>
  <c r="R75" i="42812"/>
  <c r="P447" i="42812"/>
  <c r="P440" i="42812"/>
  <c r="P549" i="42812"/>
  <c r="P115" i="42812"/>
  <c r="P517" i="42812"/>
  <c r="P130" i="42812"/>
  <c r="V67" i="42812"/>
  <c r="P99" i="42812"/>
  <c r="P493" i="42812"/>
  <c r="P520" i="42812"/>
  <c r="P543" i="42812"/>
  <c r="P663" i="42812"/>
  <c r="P545" i="42812"/>
  <c r="P317" i="42812"/>
  <c r="BY118" i="42812"/>
  <c r="BY117" i="42812"/>
  <c r="P243" i="42812"/>
  <c r="P429" i="42812"/>
  <c r="L556" i="42812" a="1"/>
  <c r="L556" i="42812" s="1"/>
  <c r="L558" i="42812" a="1"/>
  <c r="L558" i="42812" s="1"/>
  <c r="M548" i="42812"/>
  <c r="L552" i="42812" a="1"/>
  <c r="L552" i="42812" s="1"/>
  <c r="M563" i="42812"/>
  <c r="L544" i="42812" a="1"/>
  <c r="L544" i="42812" s="1"/>
  <c r="M545" i="42812"/>
  <c r="M549" i="42812"/>
  <c r="L568" i="42812" a="1"/>
  <c r="L568" i="42812" s="1"/>
  <c r="M568" i="42812"/>
  <c r="M565" i="42812"/>
  <c r="L543" i="42812" a="1"/>
  <c r="L543" i="42812" s="1"/>
  <c r="M556" i="42812"/>
  <c r="L547" i="42812" a="1"/>
  <c r="L547" i="42812" s="1"/>
  <c r="M559" i="42812"/>
  <c r="L564" i="42812" a="1"/>
  <c r="L564" i="42812" s="1"/>
  <c r="M550" i="42812"/>
  <c r="L559" i="42812" a="1"/>
  <c r="L559" i="42812" s="1"/>
  <c r="L563" i="42812" a="1"/>
  <c r="L563" i="42812" s="1"/>
  <c r="M564" i="42812"/>
  <c r="L553" i="42812" a="1"/>
  <c r="L553" i="42812" s="1"/>
  <c r="M555" i="42812"/>
  <c r="L550" i="42812" a="1"/>
  <c r="L550" i="42812" s="1"/>
  <c r="M551" i="42812"/>
  <c r="L551" i="42812" a="1"/>
  <c r="L551" i="42812" s="1"/>
  <c r="L566" i="42812" a="1"/>
  <c r="L566" i="42812" s="1"/>
  <c r="M554" i="42812"/>
  <c r="M552" i="42812"/>
  <c r="L567" i="42812" a="1"/>
  <c r="L567" i="42812" s="1"/>
  <c r="M562" i="42812"/>
  <c r="L565" i="42812" a="1"/>
  <c r="L565" i="42812" s="1"/>
  <c r="L560" i="42812" a="1"/>
  <c r="L560" i="42812" s="1"/>
  <c r="M560" i="42812"/>
  <c r="L554" i="42812" a="1"/>
  <c r="L554" i="42812" s="1"/>
  <c r="L542" i="42812" a="1"/>
  <c r="L542" i="42812" s="1"/>
  <c r="L570" i="42812" a="1"/>
  <c r="L570" i="42812" s="1"/>
  <c r="M566" i="42812"/>
  <c r="L549" i="42812" a="1"/>
  <c r="L549" i="42812" s="1"/>
  <c r="L561" i="42812" a="1"/>
  <c r="L561" i="42812" s="1"/>
  <c r="M546" i="42812"/>
  <c r="L562" i="42812" a="1"/>
  <c r="L562" i="42812" s="1"/>
  <c r="M570" i="42812"/>
  <c r="L555" i="42812" a="1"/>
  <c r="L555" i="42812" s="1"/>
  <c r="L545" i="42812" a="1"/>
  <c r="L545" i="42812" s="1"/>
  <c r="M561" i="42812"/>
  <c r="L546" i="42812" a="1"/>
  <c r="L546" i="42812" s="1"/>
  <c r="M547" i="42812"/>
  <c r="M567" i="42812"/>
  <c r="M557" i="42812"/>
  <c r="L569" i="42812" a="1"/>
  <c r="L569" i="42812" s="1"/>
  <c r="M543" i="42812"/>
  <c r="M544" i="42812"/>
  <c r="M558" i="42812"/>
  <c r="M569" i="42812"/>
  <c r="L557" i="42812" a="1"/>
  <c r="L557" i="42812" s="1"/>
  <c r="L548" i="42812" a="1"/>
  <c r="L548" i="42812" s="1"/>
  <c r="M553" i="42812"/>
  <c r="M542" i="42812"/>
  <c r="P443" i="42812"/>
  <c r="P690" i="42812"/>
  <c r="X70" i="42812"/>
  <c r="AP70" i="42812"/>
  <c r="P438" i="42812"/>
  <c r="P531" i="42812"/>
  <c r="P623" i="42812"/>
  <c r="P398" i="42812"/>
  <c r="N73" i="42812"/>
  <c r="P483" i="42812"/>
  <c r="AD74" i="42812"/>
  <c r="J74" i="42812"/>
  <c r="P141" i="42812"/>
  <c r="P104" i="42812"/>
  <c r="BB118" i="42812"/>
  <c r="BB117" i="42812"/>
  <c r="L71" i="42812"/>
  <c r="AM71" i="42812"/>
  <c r="P687" i="42812"/>
  <c r="P530" i="42812"/>
  <c r="P255" i="42812"/>
  <c r="P107" i="42812"/>
  <c r="P612" i="42812"/>
  <c r="P504" i="42812"/>
  <c r="P198" i="42812"/>
  <c r="Y118" i="42812"/>
  <c r="Y117" i="42812"/>
  <c r="P540" i="42812"/>
  <c r="P247" i="42812"/>
  <c r="P245" i="42812"/>
  <c r="P604" i="42812"/>
  <c r="P629" i="42812"/>
  <c r="AI117" i="42812"/>
  <c r="AI118" i="42812"/>
  <c r="P152" i="42812"/>
  <c r="P262" i="42812"/>
  <c r="P117" i="42812"/>
  <c r="P299" i="42812"/>
  <c r="P120" i="42812"/>
  <c r="T84" i="42812"/>
  <c r="AO84" i="42812"/>
  <c r="P357" i="42812"/>
  <c r="P123" i="42812"/>
  <c r="P410" i="42812"/>
  <c r="BQ118" i="42812"/>
  <c r="BQ117" i="42812"/>
  <c r="P280" i="42812"/>
  <c r="P227" i="42812"/>
  <c r="P496" i="42812"/>
  <c r="P355" i="42812"/>
  <c r="P670" i="42812"/>
  <c r="L73" i="42812"/>
  <c r="AM73" i="42812"/>
  <c r="P395" i="42812"/>
  <c r="AD75" i="42812"/>
  <c r="J75" i="42812"/>
  <c r="P289" i="42812"/>
  <c r="L285" i="42812" a="1"/>
  <c r="L285" i="42812" s="1"/>
  <c r="M276" i="42812"/>
  <c r="M282" i="42812"/>
  <c r="M294" i="42812"/>
  <c r="M277" i="42812"/>
  <c r="L295" i="42812" a="1"/>
  <c r="L295" i="42812" s="1"/>
  <c r="M274" i="42812"/>
  <c r="M284" i="42812"/>
  <c r="M290" i="42812"/>
  <c r="L284" i="42812" a="1"/>
  <c r="L284" i="42812" s="1"/>
  <c r="L288" i="42812" a="1"/>
  <c r="L288" i="42812" s="1"/>
  <c r="M296" i="42812"/>
  <c r="M281" i="42812"/>
  <c r="M295" i="42812"/>
  <c r="M300" i="42812"/>
  <c r="M272" i="42812"/>
  <c r="L291" i="42812" a="1"/>
  <c r="L291" i="42812" s="1"/>
  <c r="L283" i="42812" a="1"/>
  <c r="L283" i="42812" s="1"/>
  <c r="L277" i="42812" a="1"/>
  <c r="L277" i="42812" s="1"/>
  <c r="L298" i="42812" a="1"/>
  <c r="L298" i="42812" s="1"/>
  <c r="M280" i="42812"/>
  <c r="M273" i="42812"/>
  <c r="M299" i="42812"/>
  <c r="M279" i="42812"/>
  <c r="L289" i="42812" a="1"/>
  <c r="L289" i="42812" s="1"/>
  <c r="L300" i="42812" a="1"/>
  <c r="L300" i="42812" s="1"/>
  <c r="L294" i="42812" a="1"/>
  <c r="L294" i="42812" s="1"/>
  <c r="M291" i="42812"/>
  <c r="M289" i="42812"/>
  <c r="M271" i="42812"/>
  <c r="L278" i="42812" a="1"/>
  <c r="L278" i="42812" s="1"/>
  <c r="L279" i="42812" a="1"/>
  <c r="L279" i="42812" s="1"/>
  <c r="M288" i="42812"/>
  <c r="L282" i="42812" a="1"/>
  <c r="L282" i="42812" s="1"/>
  <c r="L292" i="42812" a="1"/>
  <c r="L292" i="42812" s="1"/>
  <c r="L287" i="42812" a="1"/>
  <c r="L287" i="42812" s="1"/>
  <c r="M293" i="42812"/>
  <c r="M287" i="42812"/>
  <c r="L296" i="42812" a="1"/>
  <c r="L296" i="42812" s="1"/>
  <c r="M298" i="42812"/>
  <c r="M292" i="42812"/>
  <c r="L280" i="42812" a="1"/>
  <c r="L280" i="42812" s="1"/>
  <c r="M283" i="42812"/>
  <c r="M275" i="42812"/>
  <c r="L299" i="42812" a="1"/>
  <c r="L299" i="42812" s="1"/>
  <c r="L293" i="42812" a="1"/>
  <c r="L293" i="42812" s="1"/>
  <c r="M285" i="42812"/>
  <c r="M297" i="42812"/>
  <c r="L290" i="42812" a="1"/>
  <c r="L290" i="42812" s="1"/>
  <c r="L297" i="42812" a="1"/>
  <c r="L297" i="42812" s="1"/>
  <c r="L276" i="42812" a="1"/>
  <c r="L276" i="42812" s="1"/>
  <c r="M286" i="42812"/>
  <c r="L281" i="42812" a="1"/>
  <c r="L281" i="42812" s="1"/>
  <c r="L286" i="42812" a="1"/>
  <c r="L286" i="42812" s="1"/>
  <c r="M278" i="42812"/>
  <c r="P480" i="42812"/>
  <c r="P376" i="42812"/>
  <c r="P116" i="42812"/>
  <c r="P256" i="42812"/>
  <c r="P134" i="42812"/>
  <c r="P304" i="42812"/>
  <c r="P337" i="42812"/>
  <c r="P97" i="42812"/>
  <c r="BI118" i="42812"/>
  <c r="BI117" i="42812"/>
  <c r="X85" i="42812"/>
  <c r="AP85" i="42812"/>
  <c r="P342" i="42812"/>
  <c r="H75" i="42812"/>
  <c r="AB75" i="42812"/>
  <c r="AL75" i="42812"/>
  <c r="AA75" i="42812"/>
  <c r="AA69" i="42812"/>
  <c r="H69" i="42812"/>
  <c r="AL69" i="42812"/>
  <c r="AB69" i="42812"/>
  <c r="T83" i="42812"/>
  <c r="AO83" i="42812"/>
  <c r="AB117" i="42812"/>
  <c r="AB118" i="42812"/>
  <c r="P328" i="42812"/>
  <c r="N74" i="42812"/>
  <c r="P387" i="42812"/>
  <c r="P365" i="42812"/>
  <c r="AY118" i="42812"/>
  <c r="AY117" i="42812"/>
  <c r="P409" i="42812"/>
  <c r="P270" i="42812"/>
  <c r="AM77" i="42812"/>
  <c r="L77" i="42812"/>
  <c r="Z82" i="42812"/>
  <c r="L75" i="42812"/>
  <c r="AM75" i="42812"/>
  <c r="P678" i="42812"/>
  <c r="P402" i="42812"/>
  <c r="P236" i="42812"/>
  <c r="P338" i="42812"/>
  <c r="P214" i="42812"/>
  <c r="T71" i="42812"/>
  <c r="AO71" i="42812"/>
  <c r="AD83" i="42812"/>
  <c r="J83" i="42812"/>
  <c r="P684" i="42812"/>
  <c r="M341" i="42812"/>
  <c r="L350" i="42812" a="1"/>
  <c r="L350" i="42812" s="1"/>
  <c r="M345" i="42812"/>
  <c r="L338" i="42812" a="1"/>
  <c r="L338" i="42812" s="1"/>
  <c r="L356" i="42812" a="1"/>
  <c r="L356" i="42812" s="1"/>
  <c r="L351" i="42812" a="1"/>
  <c r="L351" i="42812" s="1"/>
  <c r="L343" i="42812" a="1"/>
  <c r="L343" i="42812" s="1"/>
  <c r="L349" i="42812" a="1"/>
  <c r="L349" i="42812" s="1"/>
  <c r="M352" i="42812"/>
  <c r="L354" i="42812" a="1"/>
  <c r="L354" i="42812" s="1"/>
  <c r="L353" i="42812" a="1"/>
  <c r="L353" i="42812" s="1"/>
  <c r="L341" i="42812" a="1"/>
  <c r="L341" i="42812" s="1"/>
  <c r="M337" i="42812"/>
  <c r="L360" i="42812" a="1"/>
  <c r="L360" i="42812" s="1"/>
  <c r="M336" i="42812"/>
  <c r="M340" i="42812"/>
  <c r="L355" i="42812" a="1"/>
  <c r="L355" i="42812" s="1"/>
  <c r="M335" i="42812"/>
  <c r="M334" i="42812"/>
  <c r="M347" i="42812"/>
  <c r="M358" i="42812"/>
  <c r="L345" i="42812" a="1"/>
  <c r="L345" i="42812" s="1"/>
  <c r="M333" i="42812"/>
  <c r="M339" i="42812"/>
  <c r="L348" i="42812" a="1"/>
  <c r="L348" i="42812" s="1"/>
  <c r="M357" i="42812"/>
  <c r="L339" i="42812" a="1"/>
  <c r="L339" i="42812" s="1"/>
  <c r="M344" i="42812"/>
  <c r="L352" i="42812" a="1"/>
  <c r="L352" i="42812" s="1"/>
  <c r="L342" i="42812" a="1"/>
  <c r="L342" i="42812" s="1"/>
  <c r="M343" i="42812"/>
  <c r="L332" i="42812" a="1"/>
  <c r="L332" i="42812" s="1"/>
  <c r="L333" i="42812" a="1"/>
  <c r="L333" i="42812" s="1"/>
  <c r="M355" i="42812"/>
  <c r="L344" i="42812" a="1"/>
  <c r="L344" i="42812" s="1"/>
  <c r="M359" i="42812"/>
  <c r="L346" i="42812" a="1"/>
  <c r="L346" i="42812" s="1"/>
  <c r="M360" i="42812"/>
  <c r="L336" i="42812" a="1"/>
  <c r="L336" i="42812" s="1"/>
  <c r="L337" i="42812" a="1"/>
  <c r="L337" i="42812" s="1"/>
  <c r="M348" i="42812"/>
  <c r="L335" i="42812" a="1"/>
  <c r="L335" i="42812" s="1"/>
  <c r="L340" i="42812" a="1"/>
  <c r="L340" i="42812" s="1"/>
  <c r="M349" i="42812"/>
  <c r="M338" i="42812"/>
  <c r="M350" i="42812"/>
  <c r="L331" i="42812" a="1"/>
  <c r="L331" i="42812" s="1"/>
  <c r="M356" i="42812"/>
  <c r="M351" i="42812"/>
  <c r="L334" i="42812" a="1"/>
  <c r="L334" i="42812" s="1"/>
  <c r="L359" i="42812" a="1"/>
  <c r="L359" i="42812" s="1"/>
  <c r="L347" i="42812" a="1"/>
  <c r="L347" i="42812" s="1"/>
  <c r="M332" i="42812"/>
  <c r="M342" i="42812"/>
  <c r="L358" i="42812" a="1"/>
  <c r="L358" i="42812" s="1"/>
  <c r="M346" i="42812"/>
  <c r="M353" i="42812"/>
  <c r="M354" i="42812"/>
  <c r="L357" i="42812" a="1"/>
  <c r="L357" i="42812" s="1"/>
  <c r="AD67" i="42812"/>
  <c r="J67" i="42812"/>
  <c r="AM66" i="42812"/>
  <c r="K86" i="42812"/>
  <c r="L66" i="42812"/>
  <c r="P606" i="42812"/>
  <c r="P385" i="42812"/>
  <c r="P512" i="42812"/>
  <c r="P453" i="42812"/>
  <c r="P614" i="42812"/>
  <c r="P212" i="42812"/>
  <c r="P180" i="42812"/>
  <c r="P686" i="42812"/>
  <c r="P400" i="42812"/>
  <c r="P673" i="42812"/>
  <c r="P217" i="42812"/>
  <c r="AA85" i="42812"/>
  <c r="AL85" i="42812"/>
  <c r="H85" i="42812"/>
  <c r="AB85" i="42812"/>
  <c r="P318" i="42812"/>
  <c r="P314" i="42812"/>
  <c r="P80" i="42812"/>
  <c r="R80" i="42812"/>
  <c r="AN80" i="42812"/>
  <c r="AT118" i="42812"/>
  <c r="AT117" i="42812"/>
  <c r="P490" i="42812"/>
  <c r="P369" i="42812"/>
  <c r="P200" i="42812"/>
  <c r="P207" i="42812"/>
  <c r="P672" i="42812"/>
  <c r="M606" i="42812"/>
  <c r="M612" i="42812"/>
  <c r="M613" i="42812"/>
  <c r="M609" i="42812"/>
  <c r="L609" i="42812" a="1"/>
  <c r="L609" i="42812" s="1"/>
  <c r="L623" i="42812" a="1"/>
  <c r="L623" i="42812" s="1"/>
  <c r="L621" i="42812" a="1"/>
  <c r="L621" i="42812" s="1"/>
  <c r="M626" i="42812"/>
  <c r="L601" i="42812" a="1"/>
  <c r="L601" i="42812" s="1"/>
  <c r="L605" i="42812" a="1"/>
  <c r="L605" i="42812" s="1"/>
  <c r="L627" i="42812" a="1"/>
  <c r="L627" i="42812" s="1"/>
  <c r="M624" i="42812"/>
  <c r="M622" i="42812"/>
  <c r="L610" i="42812" a="1"/>
  <c r="L610" i="42812" s="1"/>
  <c r="M629" i="42812"/>
  <c r="L629" i="42812" a="1"/>
  <c r="L629" i="42812" s="1"/>
  <c r="M616" i="42812"/>
  <c r="M627" i="42812"/>
  <c r="M623" i="42812"/>
  <c r="L606" i="42812" a="1"/>
  <c r="L606" i="42812" s="1"/>
  <c r="M603" i="42812"/>
  <c r="M602" i="42812"/>
  <c r="M625" i="42812"/>
  <c r="L617" i="42812" a="1"/>
  <c r="L617" i="42812" s="1"/>
  <c r="L611" i="42812" a="1"/>
  <c r="L611" i="42812" s="1"/>
  <c r="M608" i="42812"/>
  <c r="M614" i="42812"/>
  <c r="M611" i="42812"/>
  <c r="L624" i="42812" a="1"/>
  <c r="L624" i="42812" s="1"/>
  <c r="M621" i="42812"/>
  <c r="M618" i="42812"/>
  <c r="L607" i="42812" a="1"/>
  <c r="L607" i="42812" s="1"/>
  <c r="M619" i="42812"/>
  <c r="L603" i="42812" a="1"/>
  <c r="L603" i="42812" s="1"/>
  <c r="L615" i="42812" a="1"/>
  <c r="L615" i="42812" s="1"/>
  <c r="M628" i="42812"/>
  <c r="L612" i="42812" a="1"/>
  <c r="L612" i="42812" s="1"/>
  <c r="L620" i="42812" a="1"/>
  <c r="L620" i="42812" s="1"/>
  <c r="L622" i="42812" a="1"/>
  <c r="L622" i="42812" s="1"/>
  <c r="L618" i="42812" a="1"/>
  <c r="L618" i="42812" s="1"/>
  <c r="L626" i="42812" a="1"/>
  <c r="L626" i="42812" s="1"/>
  <c r="L614" i="42812" a="1"/>
  <c r="L614" i="42812" s="1"/>
  <c r="M607" i="42812"/>
  <c r="L630" i="42812" a="1"/>
  <c r="L630" i="42812" s="1"/>
  <c r="L604" i="42812" a="1"/>
  <c r="L604" i="42812" s="1"/>
  <c r="M605" i="42812"/>
  <c r="L628" i="42812" a="1"/>
  <c r="L628" i="42812" s="1"/>
  <c r="M610" i="42812"/>
  <c r="M630" i="42812"/>
  <c r="L602" i="42812" a="1"/>
  <c r="L602" i="42812" s="1"/>
  <c r="L625" i="42812" a="1"/>
  <c r="L625" i="42812" s="1"/>
  <c r="L616" i="42812" a="1"/>
  <c r="L616" i="42812" s="1"/>
  <c r="M604" i="42812"/>
  <c r="M615" i="42812"/>
  <c r="L608" i="42812" a="1"/>
  <c r="L608" i="42812" s="1"/>
  <c r="M617" i="42812"/>
  <c r="L619" i="42812" a="1"/>
  <c r="L619" i="42812" s="1"/>
  <c r="L613" i="42812" a="1"/>
  <c r="L613" i="42812" s="1"/>
  <c r="M620" i="42812"/>
  <c r="AM81" i="42812"/>
  <c r="L81" i="42812"/>
  <c r="AM85" i="42812"/>
  <c r="L85" i="42812"/>
  <c r="AM76" i="42812"/>
  <c r="L76" i="42812"/>
  <c r="P320" i="42812"/>
  <c r="P93" i="42812"/>
  <c r="L672" i="42812" a="1"/>
  <c r="L672" i="42812" s="1"/>
  <c r="L690" i="42812" a="1"/>
  <c r="L690" i="42812" s="1"/>
  <c r="M664" i="42812"/>
  <c r="L684" i="42812" a="1"/>
  <c r="L684" i="42812" s="1"/>
  <c r="M662" i="42812"/>
  <c r="M668" i="42812"/>
  <c r="M680" i="42812"/>
  <c r="L683" i="42812" a="1"/>
  <c r="L683" i="42812" s="1"/>
  <c r="L685" i="42812" a="1"/>
  <c r="L685" i="42812" s="1"/>
  <c r="M679" i="42812"/>
  <c r="L667" i="42812" a="1"/>
  <c r="L667" i="42812" s="1"/>
  <c r="M686" i="42812"/>
  <c r="L662" i="42812" a="1"/>
  <c r="L662" i="42812" s="1"/>
  <c r="M683" i="42812"/>
  <c r="L675" i="42812" a="1"/>
  <c r="L675" i="42812" s="1"/>
  <c r="L669" i="42812" a="1"/>
  <c r="L669" i="42812" s="1"/>
  <c r="M671" i="42812"/>
  <c r="M684" i="42812"/>
  <c r="L670" i="42812" a="1"/>
  <c r="L670" i="42812" s="1"/>
  <c r="M663" i="42812"/>
  <c r="O688" i="42812"/>
  <c r="L681" i="42812" a="1"/>
  <c r="L681" i="42812" s="1"/>
  <c r="L687" i="42812" a="1"/>
  <c r="L687" i="42812" s="1"/>
  <c r="M665" i="42812"/>
  <c r="M667" i="42812"/>
  <c r="O690" i="42812"/>
  <c r="N689" i="42812" s="1"/>
  <c r="L668" i="42812" a="1"/>
  <c r="L668" i="42812" s="1"/>
  <c r="N687" i="42812"/>
  <c r="O687" i="42812" s="1"/>
  <c r="L677" i="42812" a="1"/>
  <c r="L677" i="42812" s="1"/>
  <c r="M674" i="42812"/>
  <c r="M676" i="42812"/>
  <c r="M681" i="42812"/>
  <c r="M675" i="42812"/>
  <c r="L688" i="42812" a="1"/>
  <c r="L688" i="42812" s="1"/>
  <c r="L680" i="42812" a="1"/>
  <c r="L680" i="42812" s="1"/>
  <c r="L666" i="42812" a="1"/>
  <c r="L666" i="42812" s="1"/>
  <c r="O689" i="42812"/>
  <c r="N688" i="42812" s="1"/>
  <c r="M678" i="42812"/>
  <c r="L665" i="42812" a="1"/>
  <c r="L665" i="42812" s="1"/>
  <c r="L674" i="42812" a="1"/>
  <c r="L674" i="42812" s="1"/>
  <c r="M669" i="42812"/>
  <c r="L679" i="42812" a="1"/>
  <c r="L679" i="42812" s="1"/>
  <c r="M685" i="42812"/>
  <c r="L682" i="42812" a="1"/>
  <c r="L682" i="42812" s="1"/>
  <c r="M688" i="42812"/>
  <c r="L678" i="42812" a="1"/>
  <c r="L678" i="42812" s="1"/>
  <c r="M672" i="42812"/>
  <c r="L663" i="42812" a="1"/>
  <c r="L663" i="42812" s="1"/>
  <c r="L673" i="42812" a="1"/>
  <c r="L673" i="42812" s="1"/>
  <c r="M666" i="42812"/>
  <c r="L671" i="42812" a="1"/>
  <c r="L671" i="42812" s="1"/>
  <c r="M677" i="42812"/>
  <c r="L676" i="42812" a="1"/>
  <c r="L676" i="42812" s="1"/>
  <c r="M673" i="42812"/>
  <c r="L664" i="42812" a="1"/>
  <c r="L664" i="42812" s="1"/>
  <c r="L686" i="42812" a="1"/>
  <c r="L686" i="42812" s="1"/>
  <c r="M690" i="42812"/>
  <c r="N686" i="42812"/>
  <c r="O686" i="42812" s="1"/>
  <c r="N685" i="42812" s="1"/>
  <c r="O685" i="42812" s="1"/>
  <c r="N684" i="42812" s="1"/>
  <c r="O684" i="42812" s="1"/>
  <c r="N683" i="42812" s="1"/>
  <c r="O683" i="42812" s="1"/>
  <c r="N682" i="42812" s="1"/>
  <c r="O682" i="42812" s="1"/>
  <c r="N681" i="42812" s="1"/>
  <c r="O681" i="42812" s="1"/>
  <c r="N680" i="42812" s="1"/>
  <c r="O680" i="42812" s="1"/>
  <c r="N679" i="42812" s="1"/>
  <c r="O679" i="42812" s="1"/>
  <c r="N678" i="42812" s="1"/>
  <c r="O678" i="42812" s="1"/>
  <c r="N677" i="42812" s="1"/>
  <c r="O677" i="42812" s="1"/>
  <c r="N676" i="42812" s="1"/>
  <c r="O676" i="42812" s="1"/>
  <c r="N675" i="42812" s="1"/>
  <c r="O675" i="42812" s="1"/>
  <c r="N674" i="42812" s="1"/>
  <c r="O674" i="42812" s="1"/>
  <c r="N673" i="42812" s="1"/>
  <c r="O673" i="42812" s="1"/>
  <c r="N672" i="42812" s="1"/>
  <c r="O672" i="42812" s="1"/>
  <c r="N671" i="42812" s="1"/>
  <c r="O671" i="42812" s="1"/>
  <c r="N670" i="42812" s="1"/>
  <c r="O670" i="42812" s="1"/>
  <c r="N669" i="42812" s="1"/>
  <c r="O669" i="42812" s="1"/>
  <c r="N668" i="42812" s="1"/>
  <c r="O668" i="42812" s="1"/>
  <c r="N667" i="42812" s="1"/>
  <c r="O667" i="42812" s="1"/>
  <c r="N666" i="42812" s="1"/>
  <c r="O666" i="42812" s="1"/>
  <c r="N665" i="42812" s="1"/>
  <c r="O665" i="42812" s="1"/>
  <c r="N664" i="42812" s="1"/>
  <c r="O664" i="42812" s="1"/>
  <c r="N663" i="42812" s="1"/>
  <c r="O663" i="42812" s="1"/>
  <c r="N662" i="42812" s="1"/>
  <c r="O662" i="42812" s="1"/>
  <c r="N661" i="42812" s="1"/>
  <c r="O661" i="42812" s="1"/>
  <c r="N660" i="42812" s="1"/>
  <c r="O660" i="42812" s="1"/>
  <c r="N659" i="42812" s="1"/>
  <c r="O659" i="42812" s="1"/>
  <c r="N658" i="42812" s="1"/>
  <c r="O658" i="42812" s="1"/>
  <c r="N657" i="42812" s="1"/>
  <c r="O657" i="42812" s="1"/>
  <c r="N656" i="42812" s="1"/>
  <c r="O656" i="42812" s="1"/>
  <c r="N655" i="42812" s="1"/>
  <c r="O655" i="42812" s="1"/>
  <c r="N654" i="42812" s="1"/>
  <c r="O654" i="42812" s="1"/>
  <c r="N653" i="42812" s="1"/>
  <c r="O653" i="42812" s="1"/>
  <c r="N652" i="42812" s="1"/>
  <c r="O652" i="42812" s="1"/>
  <c r="N651" i="42812" s="1"/>
  <c r="O651" i="42812" s="1"/>
  <c r="N650" i="42812" s="1"/>
  <c r="O650" i="42812" s="1"/>
  <c r="N649" i="42812" s="1"/>
  <c r="O649" i="42812" s="1"/>
  <c r="N648" i="42812" s="1"/>
  <c r="O648" i="42812" s="1"/>
  <c r="N647" i="42812" s="1"/>
  <c r="O647" i="42812" s="1"/>
  <c r="N646" i="42812" s="1"/>
  <c r="O646" i="42812" s="1"/>
  <c r="N645" i="42812" s="1"/>
  <c r="O645" i="42812" s="1"/>
  <c r="N644" i="42812" s="1"/>
  <c r="O644" i="42812" s="1"/>
  <c r="N643" i="42812" s="1"/>
  <c r="O643" i="42812" s="1"/>
  <c r="N642" i="42812" s="1"/>
  <c r="O642" i="42812" s="1"/>
  <c r="N641" i="42812" s="1"/>
  <c r="O641" i="42812" s="1"/>
  <c r="N640" i="42812" s="1"/>
  <c r="O640" i="42812" s="1"/>
  <c r="N639" i="42812" s="1"/>
  <c r="O639" i="42812" s="1"/>
  <c r="N638" i="42812" s="1"/>
  <c r="O638" i="42812" s="1"/>
  <c r="N637" i="42812" s="1"/>
  <c r="O637" i="42812" s="1"/>
  <c r="N636" i="42812" s="1"/>
  <c r="O636" i="42812" s="1"/>
  <c r="N635" i="42812" s="1"/>
  <c r="O635" i="42812" s="1"/>
  <c r="N634" i="42812" s="1"/>
  <c r="O634" i="42812" s="1"/>
  <c r="N633" i="42812" s="1"/>
  <c r="O633" i="42812" s="1"/>
  <c r="N632" i="42812" s="1"/>
  <c r="O632" i="42812" s="1"/>
  <c r="N631" i="42812" s="1"/>
  <c r="O631" i="42812" s="1"/>
  <c r="N630" i="42812" s="1"/>
  <c r="O630" i="42812" s="1"/>
  <c r="N629" i="42812" s="1"/>
  <c r="O629" i="42812" s="1"/>
  <c r="N628" i="42812" s="1"/>
  <c r="O628" i="42812" s="1"/>
  <c r="N627" i="42812" s="1"/>
  <c r="O627" i="42812" s="1"/>
  <c r="N626" i="42812" s="1"/>
  <c r="O626" i="42812" s="1"/>
  <c r="N625" i="42812" s="1"/>
  <c r="O625" i="42812" s="1"/>
  <c r="N624" i="42812" s="1"/>
  <c r="O624" i="42812" s="1"/>
  <c r="N623" i="42812" s="1"/>
  <c r="O623" i="42812" s="1"/>
  <c r="N622" i="42812" s="1"/>
  <c r="O622" i="42812" s="1"/>
  <c r="N621" i="42812" s="1"/>
  <c r="O621" i="42812" s="1"/>
  <c r="N620" i="42812" s="1"/>
  <c r="O620" i="42812" s="1"/>
  <c r="N619" i="42812" s="1"/>
  <c r="O619" i="42812" s="1"/>
  <c r="N618" i="42812" s="1"/>
  <c r="O618" i="42812" s="1"/>
  <c r="N617" i="42812" s="1"/>
  <c r="O617" i="42812" s="1"/>
  <c r="N616" i="42812" s="1"/>
  <c r="O616" i="42812" s="1"/>
  <c r="N615" i="42812" s="1"/>
  <c r="O615" i="42812" s="1"/>
  <c r="N614" i="42812" s="1"/>
  <c r="O614" i="42812" s="1"/>
  <c r="N613" i="42812" s="1"/>
  <c r="O613" i="42812" s="1"/>
  <c r="N612" i="42812" s="1"/>
  <c r="O612" i="42812" s="1"/>
  <c r="N611" i="42812" s="1"/>
  <c r="O611" i="42812" s="1"/>
  <c r="N610" i="42812" s="1"/>
  <c r="O610" i="42812" s="1"/>
  <c r="N609" i="42812" s="1"/>
  <c r="O609" i="42812" s="1"/>
  <c r="N608" i="42812" s="1"/>
  <c r="O608" i="42812" s="1"/>
  <c r="N607" i="42812" s="1"/>
  <c r="O607" i="42812" s="1"/>
  <c r="N606" i="42812" s="1"/>
  <c r="O606" i="42812" s="1"/>
  <c r="N605" i="42812" s="1"/>
  <c r="O605" i="42812" s="1"/>
  <c r="N604" i="42812" s="1"/>
  <c r="O604" i="42812" s="1"/>
  <c r="N603" i="42812" s="1"/>
  <c r="O603" i="42812" s="1"/>
  <c r="N602" i="42812" s="1"/>
  <c r="O602" i="42812" s="1"/>
  <c r="N601" i="42812" s="1"/>
  <c r="O601" i="42812" s="1"/>
  <c r="N600" i="42812" s="1"/>
  <c r="O600" i="42812" s="1"/>
  <c r="N599" i="42812" s="1"/>
  <c r="O599" i="42812" s="1"/>
  <c r="N598" i="42812" s="1"/>
  <c r="O598" i="42812" s="1"/>
  <c r="N597" i="42812" s="1"/>
  <c r="O597" i="42812" s="1"/>
  <c r="N596" i="42812" s="1"/>
  <c r="O596" i="42812" s="1"/>
  <c r="N595" i="42812" s="1"/>
  <c r="O595" i="42812" s="1"/>
  <c r="N594" i="42812" s="1"/>
  <c r="O594" i="42812" s="1"/>
  <c r="N593" i="42812" s="1"/>
  <c r="O593" i="42812" s="1"/>
  <c r="N592" i="42812" s="1"/>
  <c r="O592" i="42812" s="1"/>
  <c r="N591" i="42812" s="1"/>
  <c r="O591" i="42812" s="1"/>
  <c r="N590" i="42812" s="1"/>
  <c r="O590" i="42812" s="1"/>
  <c r="N589" i="42812" s="1"/>
  <c r="O589" i="42812" s="1"/>
  <c r="N588" i="42812" s="1"/>
  <c r="O588" i="42812" s="1"/>
  <c r="N587" i="42812" s="1"/>
  <c r="O587" i="42812" s="1"/>
  <c r="N586" i="42812" s="1"/>
  <c r="O586" i="42812" s="1"/>
  <c r="N585" i="42812" s="1"/>
  <c r="O585" i="42812" s="1"/>
  <c r="N584" i="42812" s="1"/>
  <c r="O584" i="42812" s="1"/>
  <c r="N583" i="42812" s="1"/>
  <c r="O583" i="42812" s="1"/>
  <c r="N582" i="42812" s="1"/>
  <c r="O582" i="42812" s="1"/>
  <c r="N581" i="42812" s="1"/>
  <c r="O581" i="42812" s="1"/>
  <c r="N580" i="42812" s="1"/>
  <c r="O580" i="42812" s="1"/>
  <c r="N579" i="42812" s="1"/>
  <c r="O579" i="42812" s="1"/>
  <c r="N578" i="42812" s="1"/>
  <c r="O578" i="42812" s="1"/>
  <c r="N577" i="42812" s="1"/>
  <c r="O577" i="42812" s="1"/>
  <c r="N576" i="42812" s="1"/>
  <c r="O576" i="42812" s="1"/>
  <c r="N575" i="42812" s="1"/>
  <c r="O575" i="42812" s="1"/>
  <c r="N574" i="42812" s="1"/>
  <c r="O574" i="42812" s="1"/>
  <c r="N573" i="42812" s="1"/>
  <c r="O573" i="42812" s="1"/>
  <c r="N572" i="42812" s="1"/>
  <c r="O572" i="42812" s="1"/>
  <c r="N571" i="42812" s="1"/>
  <c r="O571" i="42812" s="1"/>
  <c r="N570" i="42812" s="1"/>
  <c r="O570" i="42812" s="1"/>
  <c r="N569" i="42812" s="1"/>
  <c r="O569" i="42812" s="1"/>
  <c r="N568" i="42812" s="1"/>
  <c r="O568" i="42812" s="1"/>
  <c r="N567" i="42812" s="1"/>
  <c r="O567" i="42812" s="1"/>
  <c r="N566" i="42812" s="1"/>
  <c r="O566" i="42812" s="1"/>
  <c r="N565" i="42812" s="1"/>
  <c r="O565" i="42812" s="1"/>
  <c r="N564" i="42812" s="1"/>
  <c r="O564" i="42812" s="1"/>
  <c r="N563" i="42812" s="1"/>
  <c r="O563" i="42812" s="1"/>
  <c r="N562" i="42812" s="1"/>
  <c r="O562" i="42812" s="1"/>
  <c r="N561" i="42812" s="1"/>
  <c r="O561" i="42812" s="1"/>
  <c r="N560" i="42812" s="1"/>
  <c r="O560" i="42812" s="1"/>
  <c r="N559" i="42812" s="1"/>
  <c r="O559" i="42812" s="1"/>
  <c r="N558" i="42812" s="1"/>
  <c r="O558" i="42812" s="1"/>
  <c r="N557" i="42812" s="1"/>
  <c r="O557" i="42812" s="1"/>
  <c r="N556" i="42812" s="1"/>
  <c r="O556" i="42812" s="1"/>
  <c r="N555" i="42812" s="1"/>
  <c r="O555" i="42812" s="1"/>
  <c r="N554" i="42812" s="1"/>
  <c r="O554" i="42812" s="1"/>
  <c r="N553" i="42812" s="1"/>
  <c r="O553" i="42812" s="1"/>
  <c r="N552" i="42812" s="1"/>
  <c r="O552" i="42812" s="1"/>
  <c r="N551" i="42812" s="1"/>
  <c r="O551" i="42812" s="1"/>
  <c r="N550" i="42812" s="1"/>
  <c r="O550" i="42812" s="1"/>
  <c r="N549" i="42812" s="1"/>
  <c r="O549" i="42812" s="1"/>
  <c r="N548" i="42812" s="1"/>
  <c r="O548" i="42812" s="1"/>
  <c r="N547" i="42812" s="1"/>
  <c r="O547" i="42812" s="1"/>
  <c r="N546" i="42812" s="1"/>
  <c r="O546" i="42812" s="1"/>
  <c r="N545" i="42812" s="1"/>
  <c r="O545" i="42812" s="1"/>
  <c r="N544" i="42812" s="1"/>
  <c r="O544" i="42812" s="1"/>
  <c r="N543" i="42812" s="1"/>
  <c r="O543" i="42812" s="1"/>
  <c r="N542" i="42812" s="1"/>
  <c r="O542" i="42812" s="1"/>
  <c r="N541" i="42812" s="1"/>
  <c r="O541" i="42812" s="1"/>
  <c r="N540" i="42812" s="1"/>
  <c r="O540" i="42812" s="1"/>
  <c r="N539" i="42812" s="1"/>
  <c r="O539" i="42812" s="1"/>
  <c r="N538" i="42812" s="1"/>
  <c r="O538" i="42812" s="1"/>
  <c r="N537" i="42812" s="1"/>
  <c r="O537" i="42812" s="1"/>
  <c r="N536" i="42812" s="1"/>
  <c r="O536" i="42812" s="1"/>
  <c r="N535" i="42812" s="1"/>
  <c r="O535" i="42812" s="1"/>
  <c r="N534" i="42812" s="1"/>
  <c r="O534" i="42812" s="1"/>
  <c r="N533" i="42812" s="1"/>
  <c r="O533" i="42812" s="1"/>
  <c r="N532" i="42812" s="1"/>
  <c r="O532" i="42812" s="1"/>
  <c r="N531" i="42812" s="1"/>
  <c r="O531" i="42812" s="1"/>
  <c r="N530" i="42812" s="1"/>
  <c r="O530" i="42812" s="1"/>
  <c r="N529" i="42812" s="1"/>
  <c r="O529" i="42812" s="1"/>
  <c r="N528" i="42812" s="1"/>
  <c r="O528" i="42812" s="1"/>
  <c r="N527" i="42812" s="1"/>
  <c r="O527" i="42812" s="1"/>
  <c r="N526" i="42812" s="1"/>
  <c r="O526" i="42812" s="1"/>
  <c r="N525" i="42812" s="1"/>
  <c r="O525" i="42812" s="1"/>
  <c r="N524" i="42812" s="1"/>
  <c r="O524" i="42812" s="1"/>
  <c r="N523" i="42812" s="1"/>
  <c r="O523" i="42812" s="1"/>
  <c r="N522" i="42812" s="1"/>
  <c r="O522" i="42812" s="1"/>
  <c r="N521" i="42812" s="1"/>
  <c r="O521" i="42812" s="1"/>
  <c r="N520" i="42812" s="1"/>
  <c r="O520" i="42812" s="1"/>
  <c r="N519" i="42812" s="1"/>
  <c r="O519" i="42812" s="1"/>
  <c r="N518" i="42812" s="1"/>
  <c r="O518" i="42812" s="1"/>
  <c r="N517" i="42812" s="1"/>
  <c r="O517" i="42812" s="1"/>
  <c r="N516" i="42812" s="1"/>
  <c r="O516" i="42812" s="1"/>
  <c r="N515" i="42812" s="1"/>
  <c r="O515" i="42812" s="1"/>
  <c r="N514" i="42812" s="1"/>
  <c r="O514" i="42812" s="1"/>
  <c r="N513" i="42812" s="1"/>
  <c r="O513" i="42812" s="1"/>
  <c r="N512" i="42812" s="1"/>
  <c r="O512" i="42812" s="1"/>
  <c r="N511" i="42812" s="1"/>
  <c r="O511" i="42812" s="1"/>
  <c r="N510" i="42812" s="1"/>
  <c r="O510" i="42812" s="1"/>
  <c r="N509" i="42812" s="1"/>
  <c r="O509" i="42812" s="1"/>
  <c r="N508" i="42812" s="1"/>
  <c r="O508" i="42812" s="1"/>
  <c r="N507" i="42812" s="1"/>
  <c r="O507" i="42812" s="1"/>
  <c r="N506" i="42812" s="1"/>
  <c r="O506" i="42812" s="1"/>
  <c r="N505" i="42812" s="1"/>
  <c r="O505" i="42812" s="1"/>
  <c r="N504" i="42812" s="1"/>
  <c r="O504" i="42812" s="1"/>
  <c r="N503" i="42812" s="1"/>
  <c r="O503" i="42812" s="1"/>
  <c r="N502" i="42812" s="1"/>
  <c r="O502" i="42812" s="1"/>
  <c r="N501" i="42812" s="1"/>
  <c r="O501" i="42812" s="1"/>
  <c r="N500" i="42812" s="1"/>
  <c r="O500" i="42812" s="1"/>
  <c r="N499" i="42812" s="1"/>
  <c r="O499" i="42812" s="1"/>
  <c r="N498" i="42812" s="1"/>
  <c r="O498" i="42812" s="1"/>
  <c r="N497" i="42812" s="1"/>
  <c r="O497" i="42812" s="1"/>
  <c r="N496" i="42812" s="1"/>
  <c r="O496" i="42812" s="1"/>
  <c r="N495" i="42812" s="1"/>
  <c r="O495" i="42812" s="1"/>
  <c r="N494" i="42812" s="1"/>
  <c r="O494" i="42812" s="1"/>
  <c r="N493" i="42812" s="1"/>
  <c r="O493" i="42812" s="1"/>
  <c r="N492" i="42812" s="1"/>
  <c r="O492" i="42812" s="1"/>
  <c r="N491" i="42812" s="1"/>
  <c r="O491" i="42812" s="1"/>
  <c r="N490" i="42812" s="1"/>
  <c r="O490" i="42812" s="1"/>
  <c r="N489" i="42812" s="1"/>
  <c r="O489" i="42812" s="1"/>
  <c r="N488" i="42812" s="1"/>
  <c r="O488" i="42812" s="1"/>
  <c r="N487" i="42812" s="1"/>
  <c r="O487" i="42812" s="1"/>
  <c r="N486" i="42812" s="1"/>
  <c r="O486" i="42812" s="1"/>
  <c r="N485" i="42812" s="1"/>
  <c r="O485" i="42812" s="1"/>
  <c r="N484" i="42812" s="1"/>
  <c r="O484" i="42812" s="1"/>
  <c r="N483" i="42812" s="1"/>
  <c r="O483" i="42812" s="1"/>
  <c r="N482" i="42812" s="1"/>
  <c r="O482" i="42812" s="1"/>
  <c r="N481" i="42812" s="1"/>
  <c r="O481" i="42812" s="1"/>
  <c r="N480" i="42812" s="1"/>
  <c r="O480" i="42812" s="1"/>
  <c r="N479" i="42812" s="1"/>
  <c r="O479" i="42812" s="1"/>
  <c r="N478" i="42812" s="1"/>
  <c r="O478" i="42812" s="1"/>
  <c r="N477" i="42812" s="1"/>
  <c r="O477" i="42812" s="1"/>
  <c r="N476" i="42812" s="1"/>
  <c r="O476" i="42812" s="1"/>
  <c r="N475" i="42812" s="1"/>
  <c r="O475" i="42812" s="1"/>
  <c r="N474" i="42812" s="1"/>
  <c r="O474" i="42812" s="1"/>
  <c r="N473" i="42812" s="1"/>
  <c r="O473" i="42812" s="1"/>
  <c r="N472" i="42812" s="1"/>
  <c r="O472" i="42812" s="1"/>
  <c r="N471" i="42812" s="1"/>
  <c r="O471" i="42812" s="1"/>
  <c r="N470" i="42812" s="1"/>
  <c r="O470" i="42812" s="1"/>
  <c r="N469" i="42812" s="1"/>
  <c r="O469" i="42812" s="1"/>
  <c r="N468" i="42812" s="1"/>
  <c r="O468" i="42812" s="1"/>
  <c r="N467" i="42812" s="1"/>
  <c r="O467" i="42812" s="1"/>
  <c r="N466" i="42812" s="1"/>
  <c r="O466" i="42812" s="1"/>
  <c r="N465" i="42812" s="1"/>
  <c r="O465" i="42812" s="1"/>
  <c r="N464" i="42812" s="1"/>
  <c r="O464" i="42812" s="1"/>
  <c r="N463" i="42812" s="1"/>
  <c r="O463" i="42812" s="1"/>
  <c r="N462" i="42812" s="1"/>
  <c r="O462" i="42812" s="1"/>
  <c r="N461" i="42812" s="1"/>
  <c r="O461" i="42812" s="1"/>
  <c r="N460" i="42812" s="1"/>
  <c r="O460" i="42812" s="1"/>
  <c r="N459" i="42812" s="1"/>
  <c r="O459" i="42812" s="1"/>
  <c r="N458" i="42812" s="1"/>
  <c r="O458" i="42812" s="1"/>
  <c r="N457" i="42812" s="1"/>
  <c r="O457" i="42812" s="1"/>
  <c r="N456" i="42812" s="1"/>
  <c r="O456" i="42812" s="1"/>
  <c r="N455" i="42812" s="1"/>
  <c r="O455" i="42812" s="1"/>
  <c r="N454" i="42812" s="1"/>
  <c r="O454" i="42812" s="1"/>
  <c r="N453" i="42812" s="1"/>
  <c r="O453" i="42812" s="1"/>
  <c r="N452" i="42812" s="1"/>
  <c r="O452" i="42812" s="1"/>
  <c r="N451" i="42812" s="1"/>
  <c r="O451" i="42812" s="1"/>
  <c r="N450" i="42812" s="1"/>
  <c r="O450" i="42812" s="1"/>
  <c r="N449" i="42812" s="1"/>
  <c r="O449" i="42812" s="1"/>
  <c r="N448" i="42812" s="1"/>
  <c r="O448" i="42812" s="1"/>
  <c r="N447" i="42812" s="1"/>
  <c r="O447" i="42812" s="1"/>
  <c r="N446" i="42812" s="1"/>
  <c r="O446" i="42812" s="1"/>
  <c r="N445" i="42812" s="1"/>
  <c r="O445" i="42812" s="1"/>
  <c r="N444" i="42812" s="1"/>
  <c r="O444" i="42812" s="1"/>
  <c r="N443" i="42812" s="1"/>
  <c r="O443" i="42812" s="1"/>
  <c r="N442" i="42812" s="1"/>
  <c r="O442" i="42812" s="1"/>
  <c r="N441" i="42812" s="1"/>
  <c r="O441" i="42812" s="1"/>
  <c r="N440" i="42812" s="1"/>
  <c r="O440" i="42812" s="1"/>
  <c r="N439" i="42812" s="1"/>
  <c r="O439" i="42812" s="1"/>
  <c r="N438" i="42812" s="1"/>
  <c r="O438" i="42812" s="1"/>
  <c r="N437" i="42812" s="1"/>
  <c r="O437" i="42812" s="1"/>
  <c r="N436" i="42812" s="1"/>
  <c r="O436" i="42812" s="1"/>
  <c r="N435" i="42812" s="1"/>
  <c r="O435" i="42812" s="1"/>
  <c r="N434" i="42812" s="1"/>
  <c r="O434" i="42812" s="1"/>
  <c r="N433" i="42812" s="1"/>
  <c r="O433" i="42812" s="1"/>
  <c r="N432" i="42812" s="1"/>
  <c r="O432" i="42812" s="1"/>
  <c r="N431" i="42812" s="1"/>
  <c r="O431" i="42812" s="1"/>
  <c r="N430" i="42812" s="1"/>
  <c r="O430" i="42812" s="1"/>
  <c r="N429" i="42812" s="1"/>
  <c r="O429" i="42812" s="1"/>
  <c r="N428" i="42812" s="1"/>
  <c r="O428" i="42812" s="1"/>
  <c r="N427" i="42812" s="1"/>
  <c r="O427" i="42812" s="1"/>
  <c r="N426" i="42812" s="1"/>
  <c r="O426" i="42812" s="1"/>
  <c r="N425" i="42812" s="1"/>
  <c r="O425" i="42812" s="1"/>
  <c r="N424" i="42812" s="1"/>
  <c r="O424" i="42812" s="1"/>
  <c r="N423" i="42812" s="1"/>
  <c r="O423" i="42812" s="1"/>
  <c r="N422" i="42812" s="1"/>
  <c r="O422" i="42812" s="1"/>
  <c r="N421" i="42812" s="1"/>
  <c r="O421" i="42812" s="1"/>
  <c r="N420" i="42812" s="1"/>
  <c r="O420" i="42812" s="1"/>
  <c r="N419" i="42812" s="1"/>
  <c r="O419" i="42812" s="1"/>
  <c r="N418" i="42812" s="1"/>
  <c r="O418" i="42812" s="1"/>
  <c r="N417" i="42812" s="1"/>
  <c r="O417" i="42812" s="1"/>
  <c r="N416" i="42812" s="1"/>
  <c r="O416" i="42812" s="1"/>
  <c r="N415" i="42812" s="1"/>
  <c r="O415" i="42812" s="1"/>
  <c r="N414" i="42812" s="1"/>
  <c r="O414" i="42812" s="1"/>
  <c r="N413" i="42812" s="1"/>
  <c r="O413" i="42812" s="1"/>
  <c r="N412" i="42812" s="1"/>
  <c r="O412" i="42812" s="1"/>
  <c r="N411" i="42812" s="1"/>
  <c r="O411" i="42812" s="1"/>
  <c r="N410" i="42812" s="1"/>
  <c r="O410" i="42812" s="1"/>
  <c r="N409" i="42812" s="1"/>
  <c r="O409" i="42812" s="1"/>
  <c r="N408" i="42812" s="1"/>
  <c r="O408" i="42812" s="1"/>
  <c r="N407" i="42812" s="1"/>
  <c r="O407" i="42812" s="1"/>
  <c r="N406" i="42812" s="1"/>
  <c r="O406" i="42812" s="1"/>
  <c r="N405" i="42812" s="1"/>
  <c r="O405" i="42812" s="1"/>
  <c r="N404" i="42812" s="1"/>
  <c r="O404" i="42812" s="1"/>
  <c r="N403" i="42812" s="1"/>
  <c r="O403" i="42812" s="1"/>
  <c r="N402" i="42812" s="1"/>
  <c r="O402" i="42812" s="1"/>
  <c r="N401" i="42812" s="1"/>
  <c r="O401" i="42812" s="1"/>
  <c r="N400" i="42812" s="1"/>
  <c r="O400" i="42812" s="1"/>
  <c r="N399" i="42812" s="1"/>
  <c r="O399" i="42812" s="1"/>
  <c r="N398" i="42812" s="1"/>
  <c r="O398" i="42812" s="1"/>
  <c r="N397" i="42812" s="1"/>
  <c r="O397" i="42812" s="1"/>
  <c r="N396" i="42812" s="1"/>
  <c r="O396" i="42812" s="1"/>
  <c r="N395" i="42812" s="1"/>
  <c r="O395" i="42812" s="1"/>
  <c r="N394" i="42812" s="1"/>
  <c r="O394" i="42812" s="1"/>
  <c r="N393" i="42812" s="1"/>
  <c r="O393" i="42812" s="1"/>
  <c r="N392" i="42812" s="1"/>
  <c r="O392" i="42812" s="1"/>
  <c r="N391" i="42812" s="1"/>
  <c r="O391" i="42812" s="1"/>
  <c r="N390" i="42812" s="1"/>
  <c r="O390" i="42812" s="1"/>
  <c r="N389" i="42812" s="1"/>
  <c r="O389" i="42812" s="1"/>
  <c r="N388" i="42812" s="1"/>
  <c r="O388" i="42812" s="1"/>
  <c r="N387" i="42812" s="1"/>
  <c r="O387" i="42812" s="1"/>
  <c r="N386" i="42812" s="1"/>
  <c r="O386" i="42812" s="1"/>
  <c r="N385" i="42812" s="1"/>
  <c r="O385" i="42812" s="1"/>
  <c r="N384" i="42812" s="1"/>
  <c r="O384" i="42812" s="1"/>
  <c r="N383" i="42812" s="1"/>
  <c r="O383" i="42812" s="1"/>
  <c r="N382" i="42812" s="1"/>
  <c r="O382" i="42812" s="1"/>
  <c r="N381" i="42812" s="1"/>
  <c r="O381" i="42812" s="1"/>
  <c r="N380" i="42812" s="1"/>
  <c r="O380" i="42812" s="1"/>
  <c r="N379" i="42812" s="1"/>
  <c r="O379" i="42812" s="1"/>
  <c r="N378" i="42812" s="1"/>
  <c r="O378" i="42812" s="1"/>
  <c r="N377" i="42812" s="1"/>
  <c r="O377" i="42812" s="1"/>
  <c r="N376" i="42812" s="1"/>
  <c r="O376" i="42812" s="1"/>
  <c r="N375" i="42812" s="1"/>
  <c r="O375" i="42812" s="1"/>
  <c r="N374" i="42812" s="1"/>
  <c r="O374" i="42812" s="1"/>
  <c r="N373" i="42812" s="1"/>
  <c r="O373" i="42812" s="1"/>
  <c r="N372" i="42812" s="1"/>
  <c r="O372" i="42812" s="1"/>
  <c r="N371" i="42812" s="1"/>
  <c r="O371" i="42812" s="1"/>
  <c r="N370" i="42812" s="1"/>
  <c r="O370" i="42812" s="1"/>
  <c r="N369" i="42812" s="1"/>
  <c r="O369" i="42812" s="1"/>
  <c r="N368" i="42812" s="1"/>
  <c r="O368" i="42812" s="1"/>
  <c r="N367" i="42812" s="1"/>
  <c r="O367" i="42812" s="1"/>
  <c r="N366" i="42812" s="1"/>
  <c r="O366" i="42812" s="1"/>
  <c r="N365" i="42812" s="1"/>
  <c r="O365" i="42812" s="1"/>
  <c r="N364" i="42812" s="1"/>
  <c r="O364" i="42812" s="1"/>
  <c r="N363" i="42812" s="1"/>
  <c r="O363" i="42812" s="1"/>
  <c r="N362" i="42812" s="1"/>
  <c r="O362" i="42812" s="1"/>
  <c r="N361" i="42812" s="1"/>
  <c r="O361" i="42812" s="1"/>
  <c r="N360" i="42812" s="1"/>
  <c r="O360" i="42812" s="1"/>
  <c r="N359" i="42812" s="1"/>
  <c r="O359" i="42812" s="1"/>
  <c r="N358" i="42812" s="1"/>
  <c r="O358" i="42812" s="1"/>
  <c r="N357" i="42812" s="1"/>
  <c r="O357" i="42812" s="1"/>
  <c r="N356" i="42812" s="1"/>
  <c r="O356" i="42812" s="1"/>
  <c r="N355" i="42812" s="1"/>
  <c r="O355" i="42812" s="1"/>
  <c r="N354" i="42812" s="1"/>
  <c r="O354" i="42812" s="1"/>
  <c r="N353" i="42812" s="1"/>
  <c r="O353" i="42812" s="1"/>
  <c r="N352" i="42812" s="1"/>
  <c r="O352" i="42812" s="1"/>
  <c r="N351" i="42812" s="1"/>
  <c r="O351" i="42812" s="1"/>
  <c r="N350" i="42812" s="1"/>
  <c r="O350" i="42812" s="1"/>
  <c r="N349" i="42812" s="1"/>
  <c r="O349" i="42812" s="1"/>
  <c r="N348" i="42812" s="1"/>
  <c r="O348" i="42812" s="1"/>
  <c r="N347" i="42812" s="1"/>
  <c r="O347" i="42812" s="1"/>
  <c r="N346" i="42812" s="1"/>
  <c r="O346" i="42812" s="1"/>
  <c r="N345" i="42812" s="1"/>
  <c r="O345" i="42812" s="1"/>
  <c r="N344" i="42812" s="1"/>
  <c r="O344" i="42812" s="1"/>
  <c r="N343" i="42812" s="1"/>
  <c r="O343" i="42812" s="1"/>
  <c r="N342" i="42812" s="1"/>
  <c r="O342" i="42812" s="1"/>
  <c r="N341" i="42812" s="1"/>
  <c r="O341" i="42812" s="1"/>
  <c r="N340" i="42812" s="1"/>
  <c r="O340" i="42812" s="1"/>
  <c r="N339" i="42812" s="1"/>
  <c r="O339" i="42812" s="1"/>
  <c r="N338" i="42812" s="1"/>
  <c r="O338" i="42812" s="1"/>
  <c r="N337" i="42812" s="1"/>
  <c r="O337" i="42812" s="1"/>
  <c r="N336" i="42812" s="1"/>
  <c r="O336" i="42812" s="1"/>
  <c r="N335" i="42812" s="1"/>
  <c r="O335" i="42812" s="1"/>
  <c r="N334" i="42812" s="1"/>
  <c r="O334" i="42812" s="1"/>
  <c r="N333" i="42812" s="1"/>
  <c r="O333" i="42812" s="1"/>
  <c r="N332" i="42812" s="1"/>
  <c r="O332" i="42812" s="1"/>
  <c r="N331" i="42812" s="1"/>
  <c r="O331" i="42812" s="1"/>
  <c r="N330" i="42812" s="1"/>
  <c r="O330" i="42812" s="1"/>
  <c r="N329" i="42812" s="1"/>
  <c r="O329" i="42812" s="1"/>
  <c r="N328" i="42812" s="1"/>
  <c r="O328" i="42812" s="1"/>
  <c r="N327" i="42812" s="1"/>
  <c r="O327" i="42812" s="1"/>
  <c r="N326" i="42812" s="1"/>
  <c r="O326" i="42812" s="1"/>
  <c r="N325" i="42812" s="1"/>
  <c r="O325" i="42812" s="1"/>
  <c r="N324" i="42812" s="1"/>
  <c r="O324" i="42812" s="1"/>
  <c r="N323" i="42812" s="1"/>
  <c r="O323" i="42812" s="1"/>
  <c r="N322" i="42812" s="1"/>
  <c r="O322" i="42812" s="1"/>
  <c r="N321" i="42812" s="1"/>
  <c r="O321" i="42812" s="1"/>
  <c r="N320" i="42812" s="1"/>
  <c r="O320" i="42812" s="1"/>
  <c r="N319" i="42812" s="1"/>
  <c r="O319" i="42812" s="1"/>
  <c r="N318" i="42812" s="1"/>
  <c r="O318" i="42812" s="1"/>
  <c r="N317" i="42812" s="1"/>
  <c r="O317" i="42812" s="1"/>
  <c r="N316" i="42812" s="1"/>
  <c r="O316" i="42812" s="1"/>
  <c r="N315" i="42812" s="1"/>
  <c r="O315" i="42812" s="1"/>
  <c r="N314" i="42812" s="1"/>
  <c r="O314" i="42812" s="1"/>
  <c r="N313" i="42812" s="1"/>
  <c r="O313" i="42812" s="1"/>
  <c r="N312" i="42812" s="1"/>
  <c r="O312" i="42812" s="1"/>
  <c r="N311" i="42812" s="1"/>
  <c r="O311" i="42812" s="1"/>
  <c r="N310" i="42812" s="1"/>
  <c r="O310" i="42812" s="1"/>
  <c r="N309" i="42812" s="1"/>
  <c r="O309" i="42812" s="1"/>
  <c r="N308" i="42812" s="1"/>
  <c r="O308" i="42812" s="1"/>
  <c r="N307" i="42812" s="1"/>
  <c r="O307" i="42812" s="1"/>
  <c r="N306" i="42812" s="1"/>
  <c r="O306" i="42812" s="1"/>
  <c r="N305" i="42812" s="1"/>
  <c r="O305" i="42812" s="1"/>
  <c r="N304" i="42812" s="1"/>
  <c r="O304" i="42812" s="1"/>
  <c r="N303" i="42812" s="1"/>
  <c r="O303" i="42812" s="1"/>
  <c r="N302" i="42812" s="1"/>
  <c r="O302" i="42812" s="1"/>
  <c r="N301" i="42812" s="1"/>
  <c r="O301" i="42812" s="1"/>
  <c r="N300" i="42812" s="1"/>
  <c r="O300" i="42812" s="1"/>
  <c r="N299" i="42812" s="1"/>
  <c r="O299" i="42812" s="1"/>
  <c r="N298" i="42812" s="1"/>
  <c r="O298" i="42812" s="1"/>
  <c r="N297" i="42812" s="1"/>
  <c r="O297" i="42812" s="1"/>
  <c r="N296" i="42812" s="1"/>
  <c r="O296" i="42812" s="1"/>
  <c r="N295" i="42812" s="1"/>
  <c r="O295" i="42812" s="1"/>
  <c r="N294" i="42812" s="1"/>
  <c r="O294" i="42812" s="1"/>
  <c r="N293" i="42812" s="1"/>
  <c r="O293" i="42812" s="1"/>
  <c r="N292" i="42812" s="1"/>
  <c r="O292" i="42812" s="1"/>
  <c r="N291" i="42812" s="1"/>
  <c r="O291" i="42812" s="1"/>
  <c r="N290" i="42812" s="1"/>
  <c r="O290" i="42812" s="1"/>
  <c r="N289" i="42812" s="1"/>
  <c r="O289" i="42812" s="1"/>
  <c r="N288" i="42812" s="1"/>
  <c r="O288" i="42812" s="1"/>
  <c r="N287" i="42812" s="1"/>
  <c r="O287" i="42812" s="1"/>
  <c r="N286" i="42812" s="1"/>
  <c r="O286" i="42812" s="1"/>
  <c r="N285" i="42812" s="1"/>
  <c r="O285" i="42812" s="1"/>
  <c r="N284" i="42812" s="1"/>
  <c r="O284" i="42812" s="1"/>
  <c r="N283" i="42812" s="1"/>
  <c r="O283" i="42812" s="1"/>
  <c r="N282" i="42812" s="1"/>
  <c r="O282" i="42812" s="1"/>
  <c r="N281" i="42812" s="1"/>
  <c r="O281" i="42812" s="1"/>
  <c r="N280" i="42812" s="1"/>
  <c r="O280" i="42812" s="1"/>
  <c r="N279" i="42812" s="1"/>
  <c r="O279" i="42812" s="1"/>
  <c r="N278" i="42812" s="1"/>
  <c r="O278" i="42812" s="1"/>
  <c r="N277" i="42812" s="1"/>
  <c r="O277" i="42812" s="1"/>
  <c r="N276" i="42812" s="1"/>
  <c r="O276" i="42812" s="1"/>
  <c r="N275" i="42812" s="1"/>
  <c r="O275" i="42812" s="1"/>
  <c r="N274" i="42812" s="1"/>
  <c r="O274" i="42812" s="1"/>
  <c r="N273" i="42812" s="1"/>
  <c r="O273" i="42812" s="1"/>
  <c r="N272" i="42812" s="1"/>
  <c r="O272" i="42812" s="1"/>
  <c r="N271" i="42812" s="1"/>
  <c r="O271" i="42812" s="1"/>
  <c r="N270" i="42812" s="1"/>
  <c r="O270" i="42812" s="1"/>
  <c r="N269" i="42812" s="1"/>
  <c r="O269" i="42812" s="1"/>
  <c r="N268" i="42812" s="1"/>
  <c r="O268" i="42812" s="1"/>
  <c r="N267" i="42812" s="1"/>
  <c r="O267" i="42812" s="1"/>
  <c r="N266" i="42812" s="1"/>
  <c r="O266" i="42812" s="1"/>
  <c r="N265" i="42812" s="1"/>
  <c r="O265" i="42812" s="1"/>
  <c r="N264" i="42812" s="1"/>
  <c r="O264" i="42812" s="1"/>
  <c r="N263" i="42812" s="1"/>
  <c r="O263" i="42812" s="1"/>
  <c r="N262" i="42812" s="1"/>
  <c r="O262" i="42812" s="1"/>
  <c r="N261" i="42812" s="1"/>
  <c r="O261" i="42812" s="1"/>
  <c r="N260" i="42812" s="1"/>
  <c r="O260" i="42812" s="1"/>
  <c r="N259" i="42812" s="1"/>
  <c r="O259" i="42812" s="1"/>
  <c r="N258" i="42812" s="1"/>
  <c r="O258" i="42812" s="1"/>
  <c r="N257" i="42812" s="1"/>
  <c r="O257" i="42812" s="1"/>
  <c r="N256" i="42812" s="1"/>
  <c r="O256" i="42812" s="1"/>
  <c r="N255" i="42812" s="1"/>
  <c r="O255" i="42812" s="1"/>
  <c r="N254" i="42812" s="1"/>
  <c r="O254" i="42812" s="1"/>
  <c r="N253" i="42812" s="1"/>
  <c r="O253" i="42812" s="1"/>
  <c r="N252" i="42812" s="1"/>
  <c r="O252" i="42812" s="1"/>
  <c r="N251" i="42812" s="1"/>
  <c r="O251" i="42812" s="1"/>
  <c r="N250" i="42812" s="1"/>
  <c r="O250" i="42812" s="1"/>
  <c r="N249" i="42812" s="1"/>
  <c r="O249" i="42812" s="1"/>
  <c r="N248" i="42812" s="1"/>
  <c r="O248" i="42812" s="1"/>
  <c r="N247" i="42812" s="1"/>
  <c r="O247" i="42812" s="1"/>
  <c r="N246" i="42812" s="1"/>
  <c r="O246" i="42812" s="1"/>
  <c r="N245" i="42812" s="1"/>
  <c r="O245" i="42812" s="1"/>
  <c r="N244" i="42812" s="1"/>
  <c r="O244" i="42812" s="1"/>
  <c r="N243" i="42812" s="1"/>
  <c r="O243" i="42812" s="1"/>
  <c r="N242" i="42812" s="1"/>
  <c r="O242" i="42812" s="1"/>
  <c r="N241" i="42812" s="1"/>
  <c r="O241" i="42812" s="1"/>
  <c r="N240" i="42812" s="1"/>
  <c r="O240" i="42812" s="1"/>
  <c r="N239" i="42812" s="1"/>
  <c r="O239" i="42812" s="1"/>
  <c r="N238" i="42812" s="1"/>
  <c r="O238" i="42812" s="1"/>
  <c r="N237" i="42812" s="1"/>
  <c r="O237" i="42812" s="1"/>
  <c r="N236" i="42812" s="1"/>
  <c r="O236" i="42812" s="1"/>
  <c r="N235" i="42812" s="1"/>
  <c r="O235" i="42812" s="1"/>
  <c r="N234" i="42812" s="1"/>
  <c r="O234" i="42812" s="1"/>
  <c r="N233" i="42812" s="1"/>
  <c r="O233" i="42812" s="1"/>
  <c r="N232" i="42812" s="1"/>
  <c r="O232" i="42812" s="1"/>
  <c r="N231" i="42812" s="1"/>
  <c r="O231" i="42812" s="1"/>
  <c r="N230" i="42812" s="1"/>
  <c r="O230" i="42812" s="1"/>
  <c r="N229" i="42812" s="1"/>
  <c r="O229" i="42812" s="1"/>
  <c r="N228" i="42812" s="1"/>
  <c r="O228" i="42812" s="1"/>
  <c r="N227" i="42812" s="1"/>
  <c r="O227" i="42812" s="1"/>
  <c r="N226" i="42812" s="1"/>
  <c r="O226" i="42812" s="1"/>
  <c r="N225" i="42812" s="1"/>
  <c r="O225" i="42812" s="1"/>
  <c r="N224" i="42812" s="1"/>
  <c r="O224" i="42812" s="1"/>
  <c r="N223" i="42812" s="1"/>
  <c r="O223" i="42812" s="1"/>
  <c r="N222" i="42812" s="1"/>
  <c r="O222" i="42812" s="1"/>
  <c r="N221" i="42812" s="1"/>
  <c r="O221" i="42812" s="1"/>
  <c r="N220" i="42812" s="1"/>
  <c r="O220" i="42812" s="1"/>
  <c r="N219" i="42812" s="1"/>
  <c r="O219" i="42812" s="1"/>
  <c r="N218" i="42812" s="1"/>
  <c r="O218" i="42812" s="1"/>
  <c r="N217" i="42812" s="1"/>
  <c r="O217" i="42812" s="1"/>
  <c r="N216" i="42812" s="1"/>
  <c r="O216" i="42812" s="1"/>
  <c r="N215" i="42812" s="1"/>
  <c r="O215" i="42812" s="1"/>
  <c r="N214" i="42812" s="1"/>
  <c r="O214" i="42812" s="1"/>
  <c r="N213" i="42812" s="1"/>
  <c r="O213" i="42812" s="1"/>
  <c r="N212" i="42812" s="1"/>
  <c r="O212" i="42812" s="1"/>
  <c r="N211" i="42812" s="1"/>
  <c r="O211" i="42812" s="1"/>
  <c r="N210" i="42812" s="1"/>
  <c r="O210" i="42812" s="1"/>
  <c r="N209" i="42812" s="1"/>
  <c r="O209" i="42812" s="1"/>
  <c r="N208" i="42812" s="1"/>
  <c r="O208" i="42812" s="1"/>
  <c r="N207" i="42812" s="1"/>
  <c r="O207" i="42812" s="1"/>
  <c r="N206" i="42812" s="1"/>
  <c r="O206" i="42812" s="1"/>
  <c r="N205" i="42812" s="1"/>
  <c r="O205" i="42812" s="1"/>
  <c r="N204" i="42812" s="1"/>
  <c r="O204" i="42812" s="1"/>
  <c r="N203" i="42812" s="1"/>
  <c r="O203" i="42812" s="1"/>
  <c r="N202" i="42812" s="1"/>
  <c r="O202" i="42812" s="1"/>
  <c r="N201" i="42812" s="1"/>
  <c r="O201" i="42812" s="1"/>
  <c r="N200" i="42812" s="1"/>
  <c r="O200" i="42812" s="1"/>
  <c r="N199" i="42812" s="1"/>
  <c r="O199" i="42812" s="1"/>
  <c r="N198" i="42812" s="1"/>
  <c r="O198" i="42812" s="1"/>
  <c r="N197" i="42812" s="1"/>
  <c r="O197" i="42812" s="1"/>
  <c r="N196" i="42812" s="1"/>
  <c r="O196" i="42812" s="1"/>
  <c r="N195" i="42812" s="1"/>
  <c r="O195" i="42812" s="1"/>
  <c r="N194" i="42812" s="1"/>
  <c r="O194" i="42812" s="1"/>
  <c r="N193" i="42812" s="1"/>
  <c r="O193" i="42812" s="1"/>
  <c r="N192" i="42812" s="1"/>
  <c r="O192" i="42812" s="1"/>
  <c r="N191" i="42812" s="1"/>
  <c r="O191" i="42812" s="1"/>
  <c r="N190" i="42812" s="1"/>
  <c r="O190" i="42812" s="1"/>
  <c r="N189" i="42812" s="1"/>
  <c r="O189" i="42812" s="1"/>
  <c r="N188" i="42812" s="1"/>
  <c r="O188" i="42812" s="1"/>
  <c r="N187" i="42812" s="1"/>
  <c r="O187" i="42812" s="1"/>
  <c r="N186" i="42812" s="1"/>
  <c r="O186" i="42812" s="1"/>
  <c r="N185" i="42812" s="1"/>
  <c r="O185" i="42812" s="1"/>
  <c r="N184" i="42812" s="1"/>
  <c r="O184" i="42812" s="1"/>
  <c r="N183" i="42812" s="1"/>
  <c r="O183" i="42812" s="1"/>
  <c r="N182" i="42812" s="1"/>
  <c r="O182" i="42812" s="1"/>
  <c r="N181" i="42812" s="1"/>
  <c r="O181" i="42812" s="1"/>
  <c r="N180" i="42812" s="1"/>
  <c r="O180" i="42812" s="1"/>
  <c r="N179" i="42812" s="1"/>
  <c r="O179" i="42812" s="1"/>
  <c r="N178" i="42812" s="1"/>
  <c r="O178" i="42812" s="1"/>
  <c r="N177" i="42812" s="1"/>
  <c r="O177" i="42812" s="1"/>
  <c r="N176" i="42812" s="1"/>
  <c r="O176" i="42812" s="1"/>
  <c r="N175" i="42812" s="1"/>
  <c r="O175" i="42812" s="1"/>
  <c r="N174" i="42812" s="1"/>
  <c r="O174" i="42812" s="1"/>
  <c r="N173" i="42812" s="1"/>
  <c r="O173" i="42812" s="1"/>
  <c r="N172" i="42812" s="1"/>
  <c r="O172" i="42812" s="1"/>
  <c r="N171" i="42812" s="1"/>
  <c r="O171" i="42812" s="1"/>
  <c r="N170" i="42812" s="1"/>
  <c r="O170" i="42812" s="1"/>
  <c r="N169" i="42812" s="1"/>
  <c r="O169" i="42812" s="1"/>
  <c r="N168" i="42812" s="1"/>
  <c r="O168" i="42812" s="1"/>
  <c r="N167" i="42812" s="1"/>
  <c r="O167" i="42812" s="1"/>
  <c r="N166" i="42812" s="1"/>
  <c r="O166" i="42812" s="1"/>
  <c r="N165" i="42812" s="1"/>
  <c r="O165" i="42812" s="1"/>
  <c r="N164" i="42812" s="1"/>
  <c r="O164" i="42812" s="1"/>
  <c r="N163" i="42812" s="1"/>
  <c r="O163" i="42812" s="1"/>
  <c r="N162" i="42812" s="1"/>
  <c r="O162" i="42812" s="1"/>
  <c r="N161" i="42812" s="1"/>
  <c r="O161" i="42812" s="1"/>
  <c r="N160" i="42812" s="1"/>
  <c r="O160" i="42812" s="1"/>
  <c r="N159" i="42812" s="1"/>
  <c r="O159" i="42812" s="1"/>
  <c r="N158" i="42812" s="1"/>
  <c r="O158" i="42812" s="1"/>
  <c r="N157" i="42812" s="1"/>
  <c r="O157" i="42812" s="1"/>
  <c r="N156" i="42812" s="1"/>
  <c r="O156" i="42812" s="1"/>
  <c r="N155" i="42812" s="1"/>
  <c r="O155" i="42812" s="1"/>
  <c r="N154" i="42812" s="1"/>
  <c r="O154" i="42812" s="1"/>
  <c r="N153" i="42812" s="1"/>
  <c r="O153" i="42812" s="1"/>
  <c r="N152" i="42812" s="1"/>
  <c r="O152" i="42812" s="1"/>
  <c r="N151" i="42812" s="1"/>
  <c r="O151" i="42812" s="1"/>
  <c r="N150" i="42812" s="1"/>
  <c r="O150" i="42812" s="1"/>
  <c r="N149" i="42812" s="1"/>
  <c r="O149" i="42812" s="1"/>
  <c r="N148" i="42812" s="1"/>
  <c r="O148" i="42812" s="1"/>
  <c r="N147" i="42812" s="1"/>
  <c r="O147" i="42812" s="1"/>
  <c r="N146" i="42812" s="1"/>
  <c r="O146" i="42812" s="1"/>
  <c r="N145" i="42812" s="1"/>
  <c r="O145" i="42812" s="1"/>
  <c r="N144" i="42812" s="1"/>
  <c r="O144" i="42812" s="1"/>
  <c r="N143" i="42812" s="1"/>
  <c r="O143" i="42812" s="1"/>
  <c r="N142" i="42812" s="1"/>
  <c r="O142" i="42812" s="1"/>
  <c r="N141" i="42812" s="1"/>
  <c r="O141" i="42812" s="1"/>
  <c r="N140" i="42812" s="1"/>
  <c r="O140" i="42812" s="1"/>
  <c r="N139" i="42812" s="1"/>
  <c r="O139" i="42812" s="1"/>
  <c r="N138" i="42812" s="1"/>
  <c r="O138" i="42812" s="1"/>
  <c r="N137" i="42812" s="1"/>
  <c r="O137" i="42812" s="1"/>
  <c r="N136" i="42812" s="1"/>
  <c r="O136" i="42812" s="1"/>
  <c r="N135" i="42812" s="1"/>
  <c r="O135" i="42812" s="1"/>
  <c r="N134" i="42812" s="1"/>
  <c r="O134" i="42812" s="1"/>
  <c r="N133" i="42812" s="1"/>
  <c r="O133" i="42812" s="1"/>
  <c r="N132" i="42812" s="1"/>
  <c r="O132" i="42812" s="1"/>
  <c r="N131" i="42812" s="1"/>
  <c r="O131" i="42812" s="1"/>
  <c r="N130" i="42812" s="1"/>
  <c r="O130" i="42812" s="1"/>
  <c r="N129" i="42812" s="1"/>
  <c r="O129" i="42812" s="1"/>
  <c r="N128" i="42812" s="1"/>
  <c r="O128" i="42812" s="1"/>
  <c r="N127" i="42812" s="1"/>
  <c r="O127" i="42812" s="1"/>
  <c r="N126" i="42812" s="1"/>
  <c r="O126" i="42812" s="1"/>
  <c r="N125" i="42812" s="1"/>
  <c r="O125" i="42812" s="1"/>
  <c r="N124" i="42812" s="1"/>
  <c r="O124" i="42812" s="1"/>
  <c r="N123" i="42812" s="1"/>
  <c r="O123" i="42812" s="1"/>
  <c r="N122" i="42812" s="1"/>
  <c r="O122" i="42812" s="1"/>
  <c r="N121" i="42812" s="1"/>
  <c r="M682" i="42812"/>
  <c r="L689" i="42812" a="1"/>
  <c r="L689" i="42812" s="1"/>
  <c r="M689" i="42812"/>
  <c r="M687" i="42812"/>
  <c r="M670" i="42812"/>
  <c r="P500" i="42812"/>
  <c r="R78" i="42812"/>
  <c r="AN78" i="42812"/>
  <c r="P78" i="42812"/>
  <c r="P170" i="42812"/>
  <c r="AB67" i="42812"/>
  <c r="AA67" i="42812"/>
  <c r="H67" i="42812"/>
  <c r="AL67" i="42812"/>
  <c r="P461" i="42812"/>
  <c r="P165" i="42812"/>
  <c r="P521" i="42812"/>
  <c r="P646" i="42812"/>
  <c r="P133" i="42812"/>
  <c r="AM79" i="42812"/>
  <c r="L79" i="42812"/>
  <c r="P652" i="42812"/>
  <c r="M186" i="42812"/>
  <c r="M196" i="42812"/>
  <c r="L207" i="42812" a="1"/>
  <c r="L207" i="42812" s="1"/>
  <c r="M204" i="42812"/>
  <c r="M185" i="42812"/>
  <c r="L200" i="42812" a="1"/>
  <c r="L200" i="42812" s="1"/>
  <c r="M207" i="42812"/>
  <c r="M203" i="42812"/>
  <c r="M201" i="42812"/>
  <c r="M183" i="42812"/>
  <c r="M205" i="42812"/>
  <c r="L196" i="42812" a="1"/>
  <c r="L196" i="42812" s="1"/>
  <c r="M197" i="42812"/>
  <c r="L209" i="42812" a="1"/>
  <c r="L209" i="42812" s="1"/>
  <c r="M187" i="42812"/>
  <c r="L208" i="42812" a="1"/>
  <c r="L208" i="42812" s="1"/>
  <c r="M208" i="42812"/>
  <c r="L193" i="42812" a="1"/>
  <c r="L193" i="42812" s="1"/>
  <c r="L201" i="42812" a="1"/>
  <c r="L201" i="42812" s="1"/>
  <c r="M200" i="42812"/>
  <c r="M195" i="42812"/>
  <c r="M209" i="42812"/>
  <c r="L206" i="42812" a="1"/>
  <c r="L206" i="42812" s="1"/>
  <c r="M182" i="42812"/>
  <c r="M181" i="42812"/>
  <c r="M191" i="42812"/>
  <c r="M188" i="42812"/>
  <c r="L204" i="42812" a="1"/>
  <c r="L204" i="42812" s="1"/>
  <c r="L210" i="42812" a="1"/>
  <c r="L210" i="42812" s="1"/>
  <c r="L194" i="42812" a="1"/>
  <c r="L194" i="42812" s="1"/>
  <c r="M199" i="42812"/>
  <c r="L197" i="42812" a="1"/>
  <c r="L197" i="42812" s="1"/>
  <c r="M190" i="42812"/>
  <c r="L205" i="42812" a="1"/>
  <c r="L205" i="42812" s="1"/>
  <c r="M206" i="42812"/>
  <c r="M202" i="42812"/>
  <c r="M194" i="42812"/>
  <c r="L195" i="42812" a="1"/>
  <c r="L195" i="42812" s="1"/>
  <c r="L202" i="42812" a="1"/>
  <c r="L202" i="42812" s="1"/>
  <c r="M192" i="42812"/>
  <c r="L199" i="42812" a="1"/>
  <c r="L199" i="42812" s="1"/>
  <c r="M210" i="42812"/>
  <c r="M184" i="42812"/>
  <c r="L198" i="42812" a="1"/>
  <c r="L198" i="42812" s="1"/>
  <c r="L203" i="42812" a="1"/>
  <c r="L203" i="42812" s="1"/>
  <c r="M189" i="42812"/>
  <c r="M193" i="42812"/>
  <c r="M198" i="42812"/>
  <c r="P363" i="42812"/>
  <c r="P84" i="42812"/>
  <c r="AN84" i="42812"/>
  <c r="R84" i="42812"/>
  <c r="AO67" i="42812"/>
  <c r="T67" i="42812"/>
  <c r="Z81" i="42812"/>
  <c r="BV117" i="42812"/>
  <c r="BV118" i="42812"/>
  <c r="P110" i="42812"/>
  <c r="L83" i="42812"/>
  <c r="AM83" i="42812"/>
  <c r="Z79" i="42812"/>
  <c r="P424" i="42812"/>
  <c r="P525" i="42812"/>
  <c r="P539" i="42812"/>
  <c r="BR117" i="42812"/>
  <c r="BR118" i="42812"/>
  <c r="P325" i="42812"/>
  <c r="P513" i="42812"/>
  <c r="P390" i="42812"/>
  <c r="P160" i="42812"/>
  <c r="P535" i="42812"/>
  <c r="P249" i="42812"/>
  <c r="P499" i="42812"/>
  <c r="P505" i="42812"/>
  <c r="P230" i="42812"/>
  <c r="AA71" i="42812"/>
  <c r="H71" i="42812"/>
  <c r="AL71" i="42812"/>
  <c r="AB71" i="42812"/>
  <c r="P235" i="42812"/>
  <c r="P310" i="42812"/>
  <c r="P308" i="42812"/>
  <c r="AM80" i="42812"/>
  <c r="L80" i="42812"/>
  <c r="P306" i="42812"/>
  <c r="P515" i="42812"/>
  <c r="P464" i="42812"/>
  <c r="P213" i="42812"/>
  <c r="P177" i="42812"/>
  <c r="P313" i="42812"/>
  <c r="P171" i="42812"/>
  <c r="P640" i="42812"/>
  <c r="P231" i="42812"/>
  <c r="P456" i="42812"/>
  <c r="P112" i="42812"/>
  <c r="P401" i="42812"/>
  <c r="BG118" i="42812"/>
  <c r="BG117" i="42812"/>
  <c r="P375" i="42812"/>
  <c r="AM70" i="42812"/>
  <c r="L70" i="42812"/>
  <c r="AA73" i="42812"/>
  <c r="AB73" i="42812"/>
  <c r="AL73" i="42812"/>
  <c r="H73" i="42812"/>
  <c r="AN77" i="42812"/>
  <c r="P77" i="42812"/>
  <c r="R77" i="42812"/>
  <c r="BX117" i="42812"/>
  <c r="BX118" i="42812"/>
  <c r="AM68" i="42812"/>
  <c r="L68" i="42812"/>
  <c r="P108" i="42812"/>
  <c r="AV117" i="42812"/>
  <c r="AV118" i="42812"/>
  <c r="P129" i="42812"/>
  <c r="Z76" i="42812"/>
  <c r="N76" i="42812"/>
  <c r="P380" i="42812"/>
  <c r="P501" i="42812"/>
  <c r="P377" i="42812"/>
  <c r="X82" i="42812"/>
  <c r="AP82" i="42812"/>
  <c r="AD72" i="42812"/>
  <c r="J72" i="42812"/>
  <c r="P164" i="42812"/>
  <c r="P434" i="42812"/>
  <c r="P426" i="42812"/>
  <c r="P433" i="42812"/>
  <c r="CA117" i="42812"/>
  <c r="CA118" i="42812"/>
  <c r="P470" i="42812"/>
  <c r="P172" i="42812"/>
  <c r="P454" i="42812"/>
  <c r="P516" i="42812"/>
  <c r="P478" i="42812"/>
  <c r="P233" i="42812"/>
  <c r="P427" i="42812"/>
  <c r="AP83" i="42812"/>
  <c r="X83" i="42812"/>
  <c r="P462" i="42812"/>
  <c r="P435" i="42812"/>
  <c r="P657" i="42812"/>
  <c r="AB82" i="42812"/>
  <c r="AL82" i="42812"/>
  <c r="H82" i="42812"/>
  <c r="AA82" i="42812"/>
  <c r="P533" i="42812"/>
  <c r="P436" i="42812"/>
  <c r="P460" i="42812"/>
  <c r="P251" i="42812"/>
  <c r="P650" i="42812"/>
  <c r="P362" i="42812"/>
  <c r="P523" i="42812"/>
  <c r="P441" i="42812"/>
  <c r="P469" i="42812"/>
  <c r="P248" i="42812"/>
  <c r="P417" i="42812"/>
  <c r="P534" i="42812"/>
  <c r="P266" i="42812"/>
  <c r="P415" i="42812"/>
  <c r="P503" i="42812"/>
  <c r="L469" i="42812" a="1"/>
  <c r="L469" i="42812" s="1"/>
  <c r="L477" i="42812" a="1"/>
  <c r="L477" i="42812" s="1"/>
  <c r="L471" i="42812" a="1"/>
  <c r="L471" i="42812" s="1"/>
  <c r="M467" i="42812"/>
  <c r="L454" i="42812" a="1"/>
  <c r="L454" i="42812" s="1"/>
  <c r="L459" i="42812" a="1"/>
  <c r="L459" i="42812" s="1"/>
  <c r="M457" i="42812"/>
  <c r="M463" i="42812"/>
  <c r="L468" i="42812" a="1"/>
  <c r="L468" i="42812" s="1"/>
  <c r="M473" i="42812"/>
  <c r="L456" i="42812" a="1"/>
  <c r="L456" i="42812" s="1"/>
  <c r="M470" i="42812"/>
  <c r="L460" i="42812" a="1"/>
  <c r="L460" i="42812" s="1"/>
  <c r="M468" i="42812"/>
  <c r="M478" i="42812"/>
  <c r="L474" i="42812" a="1"/>
  <c r="L474" i="42812" s="1"/>
  <c r="M453" i="42812"/>
  <c r="L478" i="42812" a="1"/>
  <c r="L478" i="42812" s="1"/>
  <c r="L467" i="42812" a="1"/>
  <c r="L467" i="42812" s="1"/>
  <c r="M455" i="42812"/>
  <c r="M465" i="42812"/>
  <c r="L466" i="42812" a="1"/>
  <c r="L466" i="42812" s="1"/>
  <c r="M466" i="42812"/>
  <c r="L479" i="42812" a="1"/>
  <c r="L479" i="42812" s="1"/>
  <c r="L458" i="42812" a="1"/>
  <c r="L458" i="42812" s="1"/>
  <c r="L472" i="42812" a="1"/>
  <c r="L472" i="42812" s="1"/>
  <c r="M471" i="42812"/>
  <c r="L465" i="42812" a="1"/>
  <c r="L465" i="42812" s="1"/>
  <c r="L452" i="42812" a="1"/>
  <c r="L452" i="42812" s="1"/>
  <c r="M464" i="42812"/>
  <c r="M458" i="42812"/>
  <c r="M461" i="42812"/>
  <c r="M477" i="42812"/>
  <c r="L470" i="42812" a="1"/>
  <c r="L470" i="42812" s="1"/>
  <c r="L453" i="42812" a="1"/>
  <c r="L453" i="42812" s="1"/>
  <c r="M452" i="42812"/>
  <c r="L461" i="42812" a="1"/>
  <c r="L461" i="42812" s="1"/>
  <c r="M469" i="42812"/>
  <c r="L457" i="42812" a="1"/>
  <c r="L457" i="42812" s="1"/>
  <c r="L480" i="42812" a="1"/>
  <c r="L480" i="42812" s="1"/>
  <c r="L455" i="42812" a="1"/>
  <c r="L455" i="42812" s="1"/>
  <c r="M451" i="42812"/>
  <c r="M476" i="42812"/>
  <c r="L473" i="42812" a="1"/>
  <c r="L473" i="42812" s="1"/>
  <c r="M460" i="42812"/>
  <c r="L463" i="42812" a="1"/>
  <c r="L463" i="42812" s="1"/>
  <c r="L475" i="42812" a="1"/>
  <c r="L475" i="42812" s="1"/>
  <c r="L464" i="42812" a="1"/>
  <c r="L464" i="42812" s="1"/>
  <c r="M475" i="42812"/>
  <c r="M479" i="42812"/>
  <c r="M459" i="42812"/>
  <c r="L462" i="42812" a="1"/>
  <c r="L462" i="42812" s="1"/>
  <c r="M454" i="42812"/>
  <c r="M472" i="42812"/>
  <c r="M474" i="42812"/>
  <c r="L476" i="42812" a="1"/>
  <c r="L476" i="42812" s="1"/>
  <c r="M456" i="42812"/>
  <c r="M480" i="42812"/>
  <c r="M462" i="42812"/>
  <c r="M135" i="42812"/>
  <c r="L145" i="42812" a="1"/>
  <c r="L145" i="42812" s="1"/>
  <c r="L128" i="42812" a="1"/>
  <c r="L128" i="42812" s="1"/>
  <c r="M147" i="42812"/>
  <c r="M145" i="42812"/>
  <c r="L133" i="42812" a="1"/>
  <c r="L133" i="42812" s="1"/>
  <c r="L134" i="42812" a="1"/>
  <c r="L134" i="42812" s="1"/>
  <c r="M125" i="42812"/>
  <c r="M133" i="42812"/>
  <c r="M134" i="42812"/>
  <c r="M141" i="42812"/>
  <c r="L144" i="42812" a="1"/>
  <c r="L144" i="42812" s="1"/>
  <c r="M131" i="42812"/>
  <c r="L135" i="42812" a="1"/>
  <c r="L135" i="42812" s="1"/>
  <c r="L140" i="42812" a="1"/>
  <c r="L140" i="42812" s="1"/>
  <c r="L143" i="42812" a="1"/>
  <c r="L143" i="42812" s="1"/>
  <c r="L148" i="42812" a="1"/>
  <c r="L148" i="42812" s="1"/>
  <c r="M124" i="42812"/>
  <c r="M129" i="42812"/>
  <c r="L150" i="42812" a="1"/>
  <c r="L150" i="42812" s="1"/>
  <c r="M127" i="42812"/>
  <c r="L131" i="42812" a="1"/>
  <c r="L131" i="42812" s="1"/>
  <c r="L142" i="42812" a="1"/>
  <c r="L142" i="42812" s="1"/>
  <c r="M143" i="42812"/>
  <c r="M138" i="42812"/>
  <c r="M149" i="42812"/>
  <c r="M137" i="42812"/>
  <c r="M126" i="42812"/>
  <c r="M130" i="42812"/>
  <c r="M139" i="42812"/>
  <c r="L147" i="42812" a="1"/>
  <c r="L147" i="42812" s="1"/>
  <c r="L149" i="42812" a="1"/>
  <c r="L149" i="42812" s="1"/>
  <c r="L130" i="42812" a="1"/>
  <c r="L130" i="42812" s="1"/>
  <c r="L136" i="42812" a="1"/>
  <c r="L136" i="42812" s="1"/>
  <c r="M140" i="42812"/>
  <c r="M146" i="42812"/>
  <c r="M122" i="42812"/>
  <c r="L132" i="42812" a="1"/>
  <c r="L132" i="42812" s="1"/>
  <c r="L139" i="42812" a="1"/>
  <c r="L139" i="42812" s="1"/>
  <c r="M121" i="42812"/>
  <c r="L129" i="42812" a="1"/>
  <c r="L129" i="42812" s="1"/>
  <c r="M128" i="42812"/>
  <c r="L137" i="42812" a="1"/>
  <c r="L137" i="42812" s="1"/>
  <c r="L146" i="42812" a="1"/>
  <c r="L146" i="42812" s="1"/>
  <c r="L127" i="42812" a="1"/>
  <c r="L127" i="42812" s="1"/>
  <c r="M150" i="42812"/>
  <c r="M123" i="42812"/>
  <c r="M144" i="42812"/>
  <c r="M132" i="42812"/>
  <c r="L138" i="42812" a="1"/>
  <c r="L138" i="42812" s="1"/>
  <c r="M136" i="42812"/>
  <c r="M148" i="42812"/>
  <c r="M142" i="42812"/>
  <c r="L141" i="42812" a="1"/>
  <c r="L141" i="42812" s="1"/>
  <c r="R73" i="42812"/>
  <c r="AN73" i="42812"/>
  <c r="P73" i="42812"/>
  <c r="P367" i="42812"/>
  <c r="P374" i="42812"/>
  <c r="Z69" i="42812"/>
  <c r="P321" i="42812"/>
  <c r="X80" i="42812"/>
  <c r="AP80" i="42812"/>
  <c r="P311" i="42812"/>
  <c r="P74" i="42812"/>
  <c r="AN74" i="42812"/>
  <c r="R74" i="42812"/>
  <c r="X81" i="42812"/>
  <c r="AP81" i="42812"/>
  <c r="AM67" i="42812"/>
  <c r="L67" i="42812"/>
  <c r="AN79" i="42812"/>
  <c r="R79" i="42812"/>
  <c r="P79" i="42812"/>
  <c r="P519" i="42812"/>
  <c r="P532" i="42812"/>
  <c r="P159" i="42812"/>
  <c r="P432" i="42812"/>
  <c r="P444" i="42812"/>
  <c r="P263" i="42812"/>
  <c r="P420" i="42812"/>
  <c r="P381" i="42812"/>
  <c r="P173" i="42812"/>
  <c r="P524" i="42812"/>
  <c r="P633" i="42812"/>
  <c r="P423" i="42812"/>
  <c r="Z83" i="42812"/>
  <c r="Z72" i="42812"/>
  <c r="P324" i="42812"/>
  <c r="P242" i="42812"/>
  <c r="N83" i="42812"/>
  <c r="J84" i="42812"/>
  <c r="AD84" i="42812"/>
  <c r="X72" i="42812"/>
  <c r="AP72" i="42812"/>
  <c r="P497" i="42812"/>
  <c r="T74" i="42812"/>
  <c r="AO74" i="42812"/>
  <c r="BK118" i="42812"/>
  <c r="BK117" i="42812"/>
  <c r="AP84" i="42812"/>
  <c r="X84" i="42812"/>
  <c r="P94" i="42812"/>
  <c r="P413" i="42812"/>
  <c r="J82" i="42812"/>
  <c r="AD82" i="42812"/>
  <c r="P220" i="42812"/>
  <c r="Z68" i="42812"/>
  <c r="AD118" i="42812"/>
  <c r="AD117" i="42812"/>
  <c r="T81" i="42812"/>
  <c r="AO81" i="42812"/>
  <c r="CC118" i="42812"/>
  <c r="CC117" i="42812"/>
  <c r="AP75" i="42812"/>
  <c r="X75" i="42812"/>
  <c r="AB81" i="42812"/>
  <c r="H81" i="42812"/>
  <c r="AA81" i="42812"/>
  <c r="AL81" i="42812"/>
  <c r="AD66" i="42812"/>
  <c r="J66" i="42812"/>
  <c r="I86" i="42812"/>
  <c r="P327" i="42812"/>
  <c r="T78" i="42812"/>
  <c r="AO78" i="42812"/>
  <c r="P538" i="42812"/>
  <c r="P175" i="42812"/>
  <c r="P156" i="42812"/>
  <c r="P430" i="42812"/>
  <c r="P264" i="42812"/>
  <c r="P651" i="42812"/>
  <c r="P414" i="42812"/>
  <c r="P378" i="42812"/>
  <c r="P118" i="42812"/>
  <c r="P489" i="42812"/>
  <c r="V74" i="42812"/>
  <c r="P95" i="42812"/>
  <c r="P418" i="42812"/>
  <c r="P253" i="42812"/>
  <c r="P637" i="42812"/>
  <c r="J71" i="42812"/>
  <c r="AD71" i="42812"/>
  <c r="P388" i="42812"/>
  <c r="AD70" i="42812"/>
  <c r="J70" i="42812"/>
  <c r="AZ117" i="42812"/>
  <c r="AZ118" i="42812"/>
  <c r="P506" i="42812"/>
  <c r="AC117" i="42812"/>
  <c r="AC118" i="42812"/>
  <c r="N68" i="42812"/>
  <c r="X69" i="42812"/>
  <c r="AP69" i="42812"/>
  <c r="P85" i="42812"/>
  <c r="R85" i="42812"/>
  <c r="AN85" i="42812"/>
  <c r="P491" i="42812"/>
  <c r="P636" i="42812"/>
  <c r="P329" i="42812"/>
  <c r="P408" i="42812"/>
  <c r="P484" i="42812"/>
  <c r="P69" i="42812"/>
  <c r="AN69" i="42812"/>
  <c r="R69" i="42812"/>
  <c r="J69" i="42812"/>
  <c r="AD69" i="42812"/>
  <c r="CD117" i="42812"/>
  <c r="CD118" i="42812"/>
  <c r="P106" i="42812"/>
  <c r="P102" i="42812"/>
  <c r="M211" i="42812"/>
  <c r="L225" i="42812" a="1"/>
  <c r="L225" i="42812" s="1"/>
  <c r="L230" i="42812" a="1"/>
  <c r="L230" i="42812" s="1"/>
  <c r="M228" i="42812"/>
  <c r="M212" i="42812"/>
  <c r="L238" i="42812" a="1"/>
  <c r="L238" i="42812" s="1"/>
  <c r="L227" i="42812" a="1"/>
  <c r="L227" i="42812" s="1"/>
  <c r="L236" i="42812" a="1"/>
  <c r="L236" i="42812" s="1"/>
  <c r="M235" i="42812"/>
  <c r="L217" i="42812" a="1"/>
  <c r="L217" i="42812" s="1"/>
  <c r="L218" i="42812" a="1"/>
  <c r="L218" i="42812" s="1"/>
  <c r="M213" i="42812"/>
  <c r="M237" i="42812"/>
  <c r="M217" i="42812"/>
  <c r="L234" i="42812" a="1"/>
  <c r="L234" i="42812" s="1"/>
  <c r="L231" i="42812" a="1"/>
  <c r="L231" i="42812" s="1"/>
  <c r="L223" i="42812" a="1"/>
  <c r="L223" i="42812" s="1"/>
  <c r="L235" i="42812" a="1"/>
  <c r="L235" i="42812" s="1"/>
  <c r="L232" i="42812" a="1"/>
  <c r="L232" i="42812" s="1"/>
  <c r="M229" i="42812"/>
  <c r="L229" i="42812" a="1"/>
  <c r="L229" i="42812" s="1"/>
  <c r="M223" i="42812"/>
  <c r="M214" i="42812"/>
  <c r="M234" i="42812"/>
  <c r="L221" i="42812" a="1"/>
  <c r="L221" i="42812" s="1"/>
  <c r="M226" i="42812"/>
  <c r="L226" i="42812" a="1"/>
  <c r="L226" i="42812" s="1"/>
  <c r="M231" i="42812"/>
  <c r="L228" i="42812" a="1"/>
  <c r="L228" i="42812" s="1"/>
  <c r="M219" i="42812"/>
  <c r="M239" i="42812"/>
  <c r="L239" i="42812" a="1"/>
  <c r="L239" i="42812" s="1"/>
  <c r="L216" i="42812" a="1"/>
  <c r="L216" i="42812" s="1"/>
  <c r="L220" i="42812" a="1"/>
  <c r="L220" i="42812" s="1"/>
  <c r="L237" i="42812" a="1"/>
  <c r="L237" i="42812" s="1"/>
  <c r="M240" i="42812"/>
  <c r="L219" i="42812" a="1"/>
  <c r="L219" i="42812" s="1"/>
  <c r="M230" i="42812"/>
  <c r="M218" i="42812"/>
  <c r="L240" i="42812" a="1"/>
  <c r="L240" i="42812" s="1"/>
  <c r="L222" i="42812" a="1"/>
  <c r="L222" i="42812" s="1"/>
  <c r="L224" i="42812" a="1"/>
  <c r="L224" i="42812" s="1"/>
  <c r="M227" i="42812"/>
  <c r="M238" i="42812"/>
  <c r="L233" i="42812" a="1"/>
  <c r="L233" i="42812" s="1"/>
  <c r="M221" i="42812"/>
  <c r="M225" i="42812"/>
  <c r="M232" i="42812"/>
  <c r="M236" i="42812"/>
  <c r="M216" i="42812"/>
  <c r="M222" i="42812"/>
  <c r="M224" i="42812"/>
  <c r="M215" i="42812"/>
  <c r="M233" i="42812"/>
  <c r="M220" i="42812"/>
  <c r="BA118" i="42812"/>
  <c r="BA117" i="42812"/>
  <c r="V71" i="42812"/>
  <c r="BJ117" i="42812"/>
  <c r="BJ118" i="42812"/>
  <c r="J78" i="42812"/>
  <c r="AD78" i="42812"/>
  <c r="AO77" i="42812"/>
  <c r="T77" i="42812"/>
  <c r="P537" i="42812"/>
  <c r="P154" i="42812"/>
  <c r="P166" i="42812"/>
  <c r="P445" i="42812"/>
  <c r="P268" i="42812"/>
  <c r="P655" i="42812"/>
  <c r="P405" i="42812"/>
  <c r="P482" i="42812"/>
  <c r="P498" i="42812"/>
  <c r="P261" i="42812"/>
  <c r="L531" i="42812" a="1"/>
  <c r="L531" i="42812" s="1"/>
  <c r="L519" i="42812" a="1"/>
  <c r="L519" i="42812" s="1"/>
  <c r="M533" i="42812"/>
  <c r="L523" i="42812" a="1"/>
  <c r="L523" i="42812" s="1"/>
  <c r="M530" i="42812"/>
  <c r="L530" i="42812" a="1"/>
  <c r="L530" i="42812" s="1"/>
  <c r="L526" i="42812" a="1"/>
  <c r="L526" i="42812" s="1"/>
  <c r="M528" i="42812"/>
  <c r="L533" i="42812" a="1"/>
  <c r="L533" i="42812" s="1"/>
  <c r="L513" i="42812" a="1"/>
  <c r="L513" i="42812" s="1"/>
  <c r="M518" i="42812"/>
  <c r="M534" i="42812"/>
  <c r="L537" i="42812" a="1"/>
  <c r="L537" i="42812" s="1"/>
  <c r="M524" i="42812"/>
  <c r="M514" i="42812"/>
  <c r="L535" i="42812" a="1"/>
  <c r="L535" i="42812" s="1"/>
  <c r="L532" i="42812" a="1"/>
  <c r="L532" i="42812" s="1"/>
  <c r="M517" i="42812"/>
  <c r="M525" i="42812"/>
  <c r="M527" i="42812"/>
  <c r="L525" i="42812" a="1"/>
  <c r="L525" i="42812" s="1"/>
  <c r="M520" i="42812"/>
  <c r="L534" i="42812" a="1"/>
  <c r="L534" i="42812" s="1"/>
  <c r="M512" i="42812"/>
  <c r="M532" i="42812"/>
  <c r="L524" i="42812" a="1"/>
  <c r="L524" i="42812" s="1"/>
  <c r="L536" i="42812" a="1"/>
  <c r="L536" i="42812" s="1"/>
  <c r="M519" i="42812"/>
  <c r="L520" i="42812" a="1"/>
  <c r="L520" i="42812" s="1"/>
  <c r="M537" i="42812"/>
  <c r="L522" i="42812" a="1"/>
  <c r="L522" i="42812" s="1"/>
  <c r="M531" i="42812"/>
  <c r="M539" i="42812"/>
  <c r="L529" i="42812" a="1"/>
  <c r="L529" i="42812" s="1"/>
  <c r="L514" i="42812" a="1"/>
  <c r="L514" i="42812" s="1"/>
  <c r="M521" i="42812"/>
  <c r="L528" i="42812" a="1"/>
  <c r="L528" i="42812" s="1"/>
  <c r="M522" i="42812"/>
  <c r="M535" i="42812"/>
  <c r="M540" i="42812"/>
  <c r="M526" i="42812"/>
  <c r="L538" i="42812" a="1"/>
  <c r="L538" i="42812" s="1"/>
  <c r="L527" i="42812" a="1"/>
  <c r="L527" i="42812" s="1"/>
  <c r="L540" i="42812" a="1"/>
  <c r="L540" i="42812" s="1"/>
  <c r="M538" i="42812"/>
  <c r="M511" i="42812"/>
  <c r="L521" i="42812" a="1"/>
  <c r="L521" i="42812" s="1"/>
  <c r="L518" i="42812" a="1"/>
  <c r="L518" i="42812" s="1"/>
  <c r="M523" i="42812"/>
  <c r="L512" i="42812" a="1"/>
  <c r="L512" i="42812" s="1"/>
  <c r="L515" i="42812" a="1"/>
  <c r="L515" i="42812" s="1"/>
  <c r="M513" i="42812"/>
  <c r="L539" i="42812" a="1"/>
  <c r="L539" i="42812" s="1"/>
  <c r="L516" i="42812" a="1"/>
  <c r="L516" i="42812" s="1"/>
  <c r="M515" i="42812"/>
  <c r="M536" i="42812"/>
  <c r="L517" i="42812" a="1"/>
  <c r="L517" i="42812" s="1"/>
  <c r="M529" i="42812"/>
  <c r="M516" i="42812"/>
  <c r="P442" i="42812"/>
  <c r="V84" i="42812"/>
  <c r="P269" i="42812"/>
  <c r="P260" i="42812"/>
  <c r="AG118" i="42812"/>
  <c r="L28" i="42790" s="1"/>
  <c r="AH117" i="42812"/>
  <c r="AG117" i="42812"/>
  <c r="K28" i="42790" s="1"/>
  <c r="AH118" i="42812"/>
  <c r="V79" i="42812"/>
  <c r="P265" i="42812"/>
  <c r="P98" i="42812"/>
  <c r="P634" i="42812"/>
  <c r="P330" i="42812"/>
  <c r="M651" i="42812"/>
  <c r="L647" i="42812" a="1"/>
  <c r="L647" i="42812" s="1"/>
  <c r="M635" i="42812"/>
  <c r="M652" i="42812"/>
  <c r="M653" i="42812"/>
  <c r="L633" i="42812" a="1"/>
  <c r="L633" i="42812" s="1"/>
  <c r="L649" i="42812" a="1"/>
  <c r="L649" i="42812" s="1"/>
  <c r="L635" i="42812" a="1"/>
  <c r="L635" i="42812" s="1"/>
  <c r="L636" i="42812" a="1"/>
  <c r="L636" i="42812" s="1"/>
  <c r="M657" i="42812"/>
  <c r="M649" i="42812"/>
  <c r="L660" i="42812" a="1"/>
  <c r="L660" i="42812" s="1"/>
  <c r="M632" i="42812"/>
  <c r="M636" i="42812"/>
  <c r="M634" i="42812"/>
  <c r="M660" i="42812"/>
  <c r="L641" i="42812" a="1"/>
  <c r="L641" i="42812" s="1"/>
  <c r="L656" i="42812" a="1"/>
  <c r="L656" i="42812" s="1"/>
  <c r="M638" i="42812"/>
  <c r="M655" i="42812"/>
  <c r="M650" i="42812"/>
  <c r="M642" i="42812"/>
  <c r="M633" i="42812"/>
  <c r="L632" i="42812" a="1"/>
  <c r="L632" i="42812" s="1"/>
  <c r="L637" i="42812" a="1"/>
  <c r="L637" i="42812" s="1"/>
  <c r="L645" i="42812" a="1"/>
  <c r="L645" i="42812" s="1"/>
  <c r="L648" i="42812" a="1"/>
  <c r="L648" i="42812" s="1"/>
  <c r="L639" i="42812" a="1"/>
  <c r="L639" i="42812" s="1"/>
  <c r="M641" i="42812"/>
  <c r="M645" i="42812"/>
  <c r="L659" i="42812" a="1"/>
  <c r="L659" i="42812" s="1"/>
  <c r="L657" i="42812" a="1"/>
  <c r="L657" i="42812" s="1"/>
  <c r="L654" i="42812" a="1"/>
  <c r="L654" i="42812" s="1"/>
  <c r="M643" i="42812"/>
  <c r="M658" i="42812"/>
  <c r="L644" i="42812" a="1"/>
  <c r="L644" i="42812" s="1"/>
  <c r="L643" i="42812" a="1"/>
  <c r="L643" i="42812" s="1"/>
  <c r="L638" i="42812" a="1"/>
  <c r="L638" i="42812" s="1"/>
  <c r="L653" i="42812" a="1"/>
  <c r="L653" i="42812" s="1"/>
  <c r="M647" i="42812"/>
  <c r="M656" i="42812"/>
  <c r="M644" i="42812"/>
  <c r="M648" i="42812"/>
  <c r="L651" i="42812" a="1"/>
  <c r="L651" i="42812" s="1"/>
  <c r="M646" i="42812"/>
  <c r="M654" i="42812"/>
  <c r="M659" i="42812"/>
  <c r="L646" i="42812" a="1"/>
  <c r="L646" i="42812" s="1"/>
  <c r="L634" i="42812" a="1"/>
  <c r="L634" i="42812" s="1"/>
  <c r="L652" i="42812" a="1"/>
  <c r="L652" i="42812" s="1"/>
  <c r="M639" i="42812"/>
  <c r="L658" i="42812" a="1"/>
  <c r="L658" i="42812" s="1"/>
  <c r="M637" i="42812"/>
  <c r="L655" i="42812" a="1"/>
  <c r="L655" i="42812" s="1"/>
  <c r="M640" i="42812"/>
  <c r="L640" i="42812" a="1"/>
  <c r="L640" i="42812" s="1"/>
  <c r="L650" i="42812" a="1"/>
  <c r="L650" i="42812" s="1"/>
  <c r="L642" i="42812" a="1"/>
  <c r="L642" i="42812" s="1"/>
  <c r="T69" i="42812"/>
  <c r="AO69" i="42812"/>
  <c r="L406" i="42812" a="1"/>
  <c r="L406" i="42812" s="1"/>
  <c r="M402" i="42812"/>
  <c r="M403" i="42812"/>
  <c r="L417" i="42812" a="1"/>
  <c r="L417" i="42812" s="1"/>
  <c r="M399" i="42812"/>
  <c r="L418" i="42812" a="1"/>
  <c r="L418" i="42812" s="1"/>
  <c r="M401" i="42812"/>
  <c r="L416" i="42812" a="1"/>
  <c r="L416" i="42812" s="1"/>
  <c r="M415" i="42812"/>
  <c r="L391" i="42812" a="1"/>
  <c r="L391" i="42812" s="1"/>
  <c r="M405" i="42812"/>
  <c r="L420" i="42812" a="1"/>
  <c r="L420" i="42812" s="1"/>
  <c r="M396" i="42812"/>
  <c r="M408" i="42812"/>
  <c r="L404" i="42812" a="1"/>
  <c r="L404" i="42812" s="1"/>
  <c r="M413" i="42812"/>
  <c r="M412" i="42812"/>
  <c r="L411" i="42812" a="1"/>
  <c r="L411" i="42812" s="1"/>
  <c r="L400" i="42812" a="1"/>
  <c r="L400" i="42812" s="1"/>
  <c r="L397" i="42812" a="1"/>
  <c r="L397" i="42812" s="1"/>
  <c r="L408" i="42812" a="1"/>
  <c r="L408" i="42812" s="1"/>
  <c r="L399" i="42812" a="1"/>
  <c r="L399" i="42812" s="1"/>
  <c r="L403" i="42812" a="1"/>
  <c r="L403" i="42812" s="1"/>
  <c r="L402" i="42812" a="1"/>
  <c r="L402" i="42812" s="1"/>
  <c r="M420" i="42812"/>
  <c r="M406" i="42812"/>
  <c r="M397" i="42812"/>
  <c r="M411" i="42812"/>
  <c r="L394" i="42812" a="1"/>
  <c r="L394" i="42812" s="1"/>
  <c r="L412" i="42812" a="1"/>
  <c r="L412" i="42812" s="1"/>
  <c r="M414" i="42812"/>
  <c r="M404" i="42812"/>
  <c r="M393" i="42812"/>
  <c r="L409" i="42812" a="1"/>
  <c r="L409" i="42812" s="1"/>
  <c r="M416" i="42812"/>
  <c r="M398" i="42812"/>
  <c r="L398" i="42812" a="1"/>
  <c r="L398" i="42812" s="1"/>
  <c r="L407" i="42812" a="1"/>
  <c r="L407" i="42812" s="1"/>
  <c r="L396" i="42812" a="1"/>
  <c r="L396" i="42812" s="1"/>
  <c r="M392" i="42812"/>
  <c r="L414" i="42812" a="1"/>
  <c r="L414" i="42812" s="1"/>
  <c r="M419" i="42812"/>
  <c r="L393" i="42812" a="1"/>
  <c r="L393" i="42812" s="1"/>
  <c r="M407" i="42812"/>
  <c r="L401" i="42812" a="1"/>
  <c r="L401" i="42812" s="1"/>
  <c r="M417" i="42812"/>
  <c r="M418" i="42812"/>
  <c r="M409" i="42812"/>
  <c r="L392" i="42812" a="1"/>
  <c r="L392" i="42812" s="1"/>
  <c r="L405" i="42812" a="1"/>
  <c r="L405" i="42812" s="1"/>
  <c r="M394" i="42812"/>
  <c r="L413" i="42812" a="1"/>
  <c r="L413" i="42812" s="1"/>
  <c r="L410" i="42812" a="1"/>
  <c r="L410" i="42812" s="1"/>
  <c r="L395" i="42812" a="1"/>
  <c r="L395" i="42812" s="1"/>
  <c r="M395" i="42812"/>
  <c r="L415" i="42812" a="1"/>
  <c r="L415" i="42812" s="1"/>
  <c r="M410" i="42812"/>
  <c r="M400" i="42812"/>
  <c r="L419" i="42812" a="1"/>
  <c r="L419" i="42812" s="1"/>
  <c r="V77" i="42812"/>
  <c r="P323" i="42812"/>
  <c r="AD79" i="42812"/>
  <c r="J79" i="42812"/>
  <c r="N82" i="42812"/>
  <c r="P302" i="42812"/>
  <c r="T82" i="42812"/>
  <c r="AO82" i="42812"/>
  <c r="V68" i="42812"/>
  <c r="AA79" i="42812"/>
  <c r="AL79" i="42812"/>
  <c r="H79" i="42812"/>
  <c r="AB79" i="42812"/>
  <c r="N78" i="42812"/>
  <c r="Z118" i="42812"/>
  <c r="Z117" i="42812"/>
  <c r="P153" i="42812"/>
  <c r="P176" i="42812"/>
  <c r="P446" i="42812"/>
  <c r="P254" i="42812"/>
  <c r="AA117" i="42812"/>
  <c r="AA118" i="42812"/>
  <c r="N72" i="42812"/>
  <c r="P372" i="42812"/>
  <c r="P437" i="42812"/>
  <c r="M446" i="42812"/>
  <c r="L437" i="42812" a="1"/>
  <c r="L437" i="42812" s="1"/>
  <c r="M428" i="42812"/>
  <c r="M423" i="42812"/>
  <c r="M440" i="42812"/>
  <c r="L435" i="42812" a="1"/>
  <c r="L435" i="42812" s="1"/>
  <c r="L429" i="42812" a="1"/>
  <c r="L429" i="42812" s="1"/>
  <c r="L449" i="42812" a="1"/>
  <c r="L449" i="42812" s="1"/>
  <c r="L427" i="42812" a="1"/>
  <c r="L427" i="42812" s="1"/>
  <c r="M432" i="42812"/>
  <c r="L434" i="42812" a="1"/>
  <c r="L434" i="42812" s="1"/>
  <c r="M434" i="42812"/>
  <c r="L444" i="42812" a="1"/>
  <c r="L444" i="42812" s="1"/>
  <c r="M441" i="42812"/>
  <c r="M437" i="42812"/>
  <c r="M445" i="42812"/>
  <c r="M439" i="42812"/>
  <c r="M424" i="42812"/>
  <c r="L436" i="42812" a="1"/>
  <c r="L436" i="42812" s="1"/>
  <c r="M448" i="42812"/>
  <c r="M429" i="42812"/>
  <c r="M422" i="42812"/>
  <c r="M435" i="42812"/>
  <c r="L432" i="42812" a="1"/>
  <c r="L432" i="42812" s="1"/>
  <c r="M436" i="42812"/>
  <c r="M449" i="42812"/>
  <c r="M430" i="42812"/>
  <c r="L424" i="42812" a="1"/>
  <c r="L424" i="42812" s="1"/>
  <c r="L441" i="42812" a="1"/>
  <c r="L441" i="42812" s="1"/>
  <c r="L438" i="42812" a="1"/>
  <c r="L438" i="42812" s="1"/>
  <c r="M450" i="42812"/>
  <c r="M442" i="42812"/>
  <c r="L426" i="42812" a="1"/>
  <c r="L426" i="42812" s="1"/>
  <c r="L445" i="42812" a="1"/>
  <c r="L445" i="42812" s="1"/>
  <c r="L447" i="42812" a="1"/>
  <c r="L447" i="42812" s="1"/>
  <c r="L431" i="42812" a="1"/>
  <c r="L431" i="42812" s="1"/>
  <c r="L443" i="42812" a="1"/>
  <c r="L443" i="42812" s="1"/>
  <c r="L430" i="42812" a="1"/>
  <c r="L430" i="42812" s="1"/>
  <c r="L423" i="42812" a="1"/>
  <c r="L423" i="42812" s="1"/>
  <c r="L422" i="42812" a="1"/>
  <c r="L422" i="42812" s="1"/>
  <c r="L439" i="42812" a="1"/>
  <c r="L439" i="42812" s="1"/>
  <c r="L440" i="42812" a="1"/>
  <c r="L440" i="42812" s="1"/>
  <c r="L446" i="42812" a="1"/>
  <c r="L446" i="42812" s="1"/>
  <c r="M433" i="42812"/>
  <c r="L442" i="42812" a="1"/>
  <c r="L442" i="42812" s="1"/>
  <c r="M426" i="42812"/>
  <c r="M447" i="42812"/>
  <c r="M427" i="42812"/>
  <c r="M438" i="42812"/>
  <c r="L448" i="42812" a="1"/>
  <c r="L448" i="42812" s="1"/>
  <c r="M425" i="42812"/>
  <c r="M431" i="42812"/>
  <c r="L425" i="42812" a="1"/>
  <c r="L425" i="42812" s="1"/>
  <c r="M443" i="42812"/>
  <c r="L433" i="42812" a="1"/>
  <c r="L433" i="42812" s="1"/>
  <c r="L428" i="42812" a="1"/>
  <c r="L428" i="42812" s="1"/>
  <c r="M444" i="42812"/>
  <c r="L450" i="42812" a="1"/>
  <c r="L450" i="42812" s="1"/>
  <c r="Z80" i="42812"/>
  <c r="Z78" i="42812"/>
  <c r="N69" i="42812"/>
  <c r="AA68" i="42812"/>
  <c r="H68" i="42812"/>
  <c r="AL68" i="42812"/>
  <c r="AB68" i="42812"/>
  <c r="O99" i="42812"/>
  <c r="AM42" i="42812" s="1"/>
  <c r="M108" i="42812"/>
  <c r="L100" i="42812" a="1"/>
  <c r="L100" i="42812" s="1"/>
  <c r="L113" i="42812" a="1"/>
  <c r="L113" i="42812" s="1"/>
  <c r="L107" i="42812" a="1"/>
  <c r="L107" i="42812" s="1"/>
  <c r="L105" i="42812" a="1"/>
  <c r="L105" i="42812" s="1"/>
  <c r="M99" i="42812"/>
  <c r="M92" i="42812"/>
  <c r="M105" i="42812"/>
  <c r="M119" i="42812"/>
  <c r="M114" i="42812"/>
  <c r="M113" i="42812"/>
  <c r="M115" i="42812"/>
  <c r="O101" i="42812"/>
  <c r="AM44" i="42812" s="1"/>
  <c r="O108" i="42812"/>
  <c r="AM51" i="42812" s="1"/>
  <c r="M120" i="42812"/>
  <c r="O109" i="42812"/>
  <c r="AM52" i="42812" s="1"/>
  <c r="M109" i="42812"/>
  <c r="M107" i="42812"/>
  <c r="O105" i="42812"/>
  <c r="AM48" i="42812" s="1"/>
  <c r="L108" i="42812" a="1"/>
  <c r="L108" i="42812" s="1"/>
  <c r="L111" i="42812" a="1"/>
  <c r="L111" i="42812" s="1"/>
  <c r="M101" i="42812"/>
  <c r="M106" i="42812"/>
  <c r="M98" i="42812"/>
  <c r="M117" i="42812"/>
  <c r="O106" i="42812"/>
  <c r="AM49" i="42812" s="1"/>
  <c r="L119" i="42812" a="1"/>
  <c r="L119" i="42812" s="1"/>
  <c r="O97" i="42812"/>
  <c r="AM40" i="42812" s="1"/>
  <c r="O96" i="42812"/>
  <c r="AM39" i="42812" s="1"/>
  <c r="L101" i="42812" a="1"/>
  <c r="L101" i="42812" s="1"/>
  <c r="M103" i="42812"/>
  <c r="O94" i="42812"/>
  <c r="AM37" i="42812" s="1"/>
  <c r="M95" i="42812"/>
  <c r="O93" i="42812"/>
  <c r="AM36" i="42812" s="1"/>
  <c r="L118" i="42812" a="1"/>
  <c r="L118" i="42812" s="1"/>
  <c r="O104" i="42812"/>
  <c r="AM47" i="42812" s="1"/>
  <c r="O95" i="42812"/>
  <c r="AM38" i="42812" s="1"/>
  <c r="L104" i="42812" a="1"/>
  <c r="L104" i="42812" s="1"/>
  <c r="M118" i="42812"/>
  <c r="L117" i="42812" a="1"/>
  <c r="L117" i="42812" s="1"/>
  <c r="O92" i="42812"/>
  <c r="AM35" i="42812" s="1"/>
  <c r="L109" i="42812" a="1"/>
  <c r="L109" i="42812" s="1"/>
  <c r="M102" i="42812"/>
  <c r="M96" i="42812"/>
  <c r="M97" i="42812"/>
  <c r="L106" i="42812" a="1"/>
  <c r="L106" i="42812" s="1"/>
  <c r="L114" i="42812" a="1"/>
  <c r="L114" i="42812" s="1"/>
  <c r="M111" i="42812"/>
  <c r="M112" i="42812"/>
  <c r="M104" i="42812"/>
  <c r="M94" i="42812"/>
  <c r="O110" i="42812"/>
  <c r="AM53" i="42812" s="1"/>
  <c r="L103" i="42812" a="1"/>
  <c r="L103" i="42812" s="1"/>
  <c r="L120" i="42812" a="1"/>
  <c r="L120" i="42812" s="1"/>
  <c r="L115" i="42812" a="1"/>
  <c r="L115" i="42812" s="1"/>
  <c r="L102" i="42812" a="1"/>
  <c r="L102" i="42812" s="1"/>
  <c r="O107" i="42812"/>
  <c r="AM50" i="42812" s="1"/>
  <c r="L112" i="42812" a="1"/>
  <c r="L112" i="42812" s="1"/>
  <c r="O102" i="42812"/>
  <c r="AM45" i="42812" s="1"/>
  <c r="M116" i="42812"/>
  <c r="O103" i="42812"/>
  <c r="AM46" i="42812" s="1"/>
  <c r="M110" i="42812"/>
  <c r="L110" i="42812" a="1"/>
  <c r="L110" i="42812" s="1"/>
  <c r="M100" i="42812"/>
  <c r="O98" i="42812"/>
  <c r="AM41" i="42812" s="1"/>
  <c r="M93" i="42812"/>
  <c r="L116" i="42812" a="1"/>
  <c r="L116" i="42812" s="1"/>
  <c r="O100" i="42812"/>
  <c r="AM43" i="42812" s="1"/>
  <c r="AD73" i="42812"/>
  <c r="J73" i="42812"/>
  <c r="P70" i="42812"/>
  <c r="R70" i="42812"/>
  <c r="AN70" i="42812"/>
  <c r="P326" i="42812"/>
  <c r="P162" i="42812"/>
  <c r="P158" i="42812"/>
  <c r="P364" i="42812"/>
  <c r="AN72" i="42812"/>
  <c r="P72" i="42812"/>
  <c r="R72" i="42812"/>
  <c r="AX118" i="42812"/>
  <c r="AX117" i="42812"/>
  <c r="M151" i="42812"/>
  <c r="L164" i="42812" a="1"/>
  <c r="L164" i="42812" s="1"/>
  <c r="L162" i="42812" a="1"/>
  <c r="L162" i="42812" s="1"/>
  <c r="M159" i="42812"/>
  <c r="M169" i="42812"/>
  <c r="M177" i="42812"/>
  <c r="M162" i="42812"/>
  <c r="M165" i="42812"/>
  <c r="M163" i="42812"/>
  <c r="M167" i="42812"/>
  <c r="L179" i="42812" a="1"/>
  <c r="L179" i="42812" s="1"/>
  <c r="M164" i="42812"/>
  <c r="M171" i="42812"/>
  <c r="M179" i="42812"/>
  <c r="M152" i="42812"/>
  <c r="M160" i="42812"/>
  <c r="M166" i="42812"/>
  <c r="M153" i="42812"/>
  <c r="M174" i="42812"/>
  <c r="L172" i="42812" a="1"/>
  <c r="L172" i="42812" s="1"/>
  <c r="L163" i="42812" a="1"/>
  <c r="L163" i="42812" s="1"/>
  <c r="L175" i="42812" a="1"/>
  <c r="L175" i="42812" s="1"/>
  <c r="M170" i="42812"/>
  <c r="L168" i="42812" a="1"/>
  <c r="L168" i="42812" s="1"/>
  <c r="L177" i="42812" a="1"/>
  <c r="L177" i="42812" s="1"/>
  <c r="M155" i="42812"/>
  <c r="L176" i="42812" a="1"/>
  <c r="L176" i="42812" s="1"/>
  <c r="L178" i="42812" a="1"/>
  <c r="L178" i="42812" s="1"/>
  <c r="M178" i="42812"/>
  <c r="L161" i="42812" a="1"/>
  <c r="L161" i="42812" s="1"/>
  <c r="M180" i="42812"/>
  <c r="M158" i="42812"/>
  <c r="L173" i="42812" a="1"/>
  <c r="L173" i="42812" s="1"/>
  <c r="M176" i="42812"/>
  <c r="L169" i="42812" a="1"/>
  <c r="L169" i="42812" s="1"/>
  <c r="L165" i="42812" a="1"/>
  <c r="L165" i="42812" s="1"/>
  <c r="L174" i="42812" a="1"/>
  <c r="L174" i="42812" s="1"/>
  <c r="M156" i="42812"/>
  <c r="M161" i="42812"/>
  <c r="L170" i="42812" a="1"/>
  <c r="L170" i="42812" s="1"/>
  <c r="L171" i="42812" a="1"/>
  <c r="L171" i="42812" s="1"/>
  <c r="M172" i="42812"/>
  <c r="L167" i="42812" a="1"/>
  <c r="L167" i="42812" s="1"/>
  <c r="M173" i="42812"/>
  <c r="L166" i="42812" a="1"/>
  <c r="L166" i="42812" s="1"/>
  <c r="M157" i="42812"/>
  <c r="M175" i="42812"/>
  <c r="L180" i="42812" a="1"/>
  <c r="L180" i="42812" s="1"/>
  <c r="M168" i="42812"/>
  <c r="M154" i="42812"/>
  <c r="P246" i="42812"/>
  <c r="V69" i="42812"/>
  <c r="AB77" i="42812"/>
  <c r="AL77" i="42812"/>
  <c r="AA77" i="42812"/>
  <c r="H77" i="42812"/>
  <c r="P370" i="42812"/>
  <c r="P384" i="42812"/>
  <c r="AB78" i="42812"/>
  <c r="H78" i="42812"/>
  <c r="AL78" i="42812"/>
  <c r="AA78" i="42812"/>
  <c r="P316" i="42812"/>
  <c r="P495" i="42812"/>
  <c r="N70" i="42812"/>
  <c r="L69" i="42812"/>
  <c r="AM69" i="42812"/>
  <c r="M486" i="42812"/>
  <c r="L484" i="42812" a="1"/>
  <c r="L484" i="42812" s="1"/>
  <c r="L496" i="42812" a="1"/>
  <c r="L496" i="42812" s="1"/>
  <c r="L507" i="42812" a="1"/>
  <c r="L507" i="42812" s="1"/>
  <c r="M482" i="42812"/>
  <c r="L500" i="42812" a="1"/>
  <c r="L500" i="42812" s="1"/>
  <c r="L503" i="42812" a="1"/>
  <c r="L503" i="42812" s="1"/>
  <c r="L488" i="42812" a="1"/>
  <c r="L488" i="42812" s="1"/>
  <c r="M496" i="42812"/>
  <c r="L501" i="42812" a="1"/>
  <c r="L501" i="42812" s="1"/>
  <c r="M491" i="42812"/>
  <c r="M498" i="42812"/>
  <c r="L492" i="42812" a="1"/>
  <c r="L492" i="42812" s="1"/>
  <c r="M499" i="42812"/>
  <c r="M500" i="42812"/>
  <c r="M488" i="42812"/>
  <c r="M505" i="42812"/>
  <c r="M484" i="42812"/>
  <c r="M504" i="42812"/>
  <c r="L491" i="42812" a="1"/>
  <c r="L491" i="42812" s="1"/>
  <c r="L506" i="42812" a="1"/>
  <c r="L506" i="42812" s="1"/>
  <c r="M487" i="42812"/>
  <c r="L490" i="42812" a="1"/>
  <c r="L490" i="42812" s="1"/>
  <c r="L494" i="42812" a="1"/>
  <c r="L494" i="42812" s="1"/>
  <c r="M508" i="42812"/>
  <c r="L499" i="42812" a="1"/>
  <c r="L499" i="42812" s="1"/>
  <c r="L504" i="42812" a="1"/>
  <c r="L504" i="42812" s="1"/>
  <c r="L493" i="42812" a="1"/>
  <c r="L493" i="42812" s="1"/>
  <c r="L487" i="42812" a="1"/>
  <c r="L487" i="42812" s="1"/>
  <c r="M501" i="42812"/>
  <c r="M492" i="42812"/>
  <c r="M485" i="42812"/>
  <c r="M497" i="42812"/>
  <c r="M495" i="42812"/>
  <c r="L482" i="42812" a="1"/>
  <c r="L482" i="42812" s="1"/>
  <c r="M489" i="42812"/>
  <c r="M506" i="42812"/>
  <c r="L485" i="42812" a="1"/>
  <c r="L485" i="42812" s="1"/>
  <c r="M503" i="42812"/>
  <c r="L486" i="42812" a="1"/>
  <c r="L486" i="42812" s="1"/>
  <c r="L509" i="42812" a="1"/>
  <c r="L509" i="42812" s="1"/>
  <c r="M507" i="42812"/>
  <c r="M510" i="42812"/>
  <c r="L489" i="42812" a="1"/>
  <c r="L489" i="42812" s="1"/>
  <c r="L510" i="42812" a="1"/>
  <c r="L510" i="42812" s="1"/>
  <c r="M490" i="42812"/>
  <c r="L495" i="42812" a="1"/>
  <c r="L495" i="42812" s="1"/>
  <c r="L498" i="42812" a="1"/>
  <c r="L498" i="42812" s="1"/>
  <c r="M509" i="42812"/>
  <c r="L497" i="42812" a="1"/>
  <c r="L497" i="42812" s="1"/>
  <c r="M483" i="42812"/>
  <c r="L508" i="42812" a="1"/>
  <c r="L508" i="42812" s="1"/>
  <c r="M494" i="42812"/>
  <c r="L505" i="42812" a="1"/>
  <c r="L505" i="42812" s="1"/>
  <c r="M493" i="42812"/>
  <c r="M502" i="42812"/>
  <c r="L502" i="42812" a="1"/>
  <c r="L502" i="42812" s="1"/>
  <c r="L483" i="42812" a="1"/>
  <c r="L483" i="42812" s="1"/>
  <c r="AO79" i="42812"/>
  <c r="T79" i="42812"/>
  <c r="AN82" i="42812"/>
  <c r="R82" i="42812"/>
  <c r="P82" i="42812"/>
  <c r="AS117" i="42812"/>
  <c r="AS118" i="42812"/>
  <c r="BW117" i="42812"/>
  <c r="BW118" i="42812"/>
  <c r="AW118" i="42812"/>
  <c r="AW117" i="42812"/>
  <c r="AP67" i="42812"/>
  <c r="X67" i="42812"/>
  <c r="P68" i="42812"/>
  <c r="R68" i="42812"/>
  <c r="AN68" i="42812"/>
  <c r="BP117" i="42812"/>
  <c r="BP118" i="42812"/>
  <c r="AL80" i="42812"/>
  <c r="AB80" i="42812"/>
  <c r="H80" i="42812"/>
  <c r="AA80" i="42812"/>
  <c r="X68" i="42812"/>
  <c r="AP68" i="42812"/>
  <c r="W86" i="42812"/>
  <c r="AP66" i="42812"/>
  <c r="X66" i="42812"/>
  <c r="T75" i="42812"/>
  <c r="AO75" i="42812"/>
  <c r="P250" i="42812"/>
  <c r="N80" i="42812"/>
  <c r="BC118" i="42812"/>
  <c r="BC117" i="42812"/>
  <c r="BF118" i="42812"/>
  <c r="BF117" i="42812"/>
  <c r="V76" i="42812"/>
  <c r="P371" i="42812"/>
  <c r="P383" i="42812"/>
  <c r="P244" i="42812"/>
  <c r="P379" i="42812"/>
  <c r="AO68" i="42812"/>
  <c r="T68" i="42812"/>
  <c r="AL70" i="42812"/>
  <c r="AA70" i="42812"/>
  <c r="AB70" i="42812"/>
  <c r="H70" i="42812"/>
  <c r="P319" i="42812"/>
  <c r="H84" i="42812"/>
  <c r="AL84" i="42812"/>
  <c r="AB84" i="42812"/>
  <c r="AA84" i="42812"/>
  <c r="J77" i="42812"/>
  <c r="AD77" i="42812"/>
  <c r="BU118" i="42812"/>
  <c r="BU117" i="42812"/>
  <c r="BT118" i="42812"/>
  <c r="L33" i="42790" s="1"/>
  <c r="BT117" i="42812"/>
  <c r="K33" i="42790" s="1"/>
  <c r="AO85" i="42812"/>
  <c r="T85" i="42812"/>
  <c r="AR117" i="42812"/>
  <c r="AQ117" i="42812"/>
  <c r="K30" i="42790" s="1"/>
  <c r="AQ118" i="42812"/>
  <c r="L30" i="42790" s="1"/>
  <c r="AR118" i="42812"/>
  <c r="AP79" i="42812"/>
  <c r="X79" i="42812"/>
  <c r="AD85" i="42812"/>
  <c r="J85" i="42812"/>
  <c r="P71" i="42812"/>
  <c r="R71" i="42812"/>
  <c r="AN71" i="42812"/>
  <c r="Z74" i="42812"/>
  <c r="P309" i="42812"/>
  <c r="AO66" i="42812"/>
  <c r="T66" i="42812"/>
  <c r="S86" i="42812"/>
  <c r="AO70" i="42812"/>
  <c r="T70" i="42812"/>
  <c r="P258" i="42812"/>
  <c r="P382" i="42812"/>
  <c r="Q86" i="42812"/>
  <c r="R66" i="42812"/>
  <c r="AN66" i="42812"/>
  <c r="P66" i="42812"/>
  <c r="AM84" i="42812"/>
  <c r="L84" i="42812"/>
  <c r="Z73" i="42812"/>
  <c r="BN117" i="42812"/>
  <c r="BM117" i="42812"/>
  <c r="K32" i="42790" s="1"/>
  <c r="BM118" i="42812"/>
  <c r="L32" i="42790" s="1"/>
  <c r="BN118" i="42812"/>
  <c r="P259" i="42812"/>
  <c r="Z75" i="42812"/>
  <c r="J76" i="42812"/>
  <c r="AD76" i="42812"/>
  <c r="J80" i="42812"/>
  <c r="AD80" i="42812"/>
  <c r="V81" i="42812"/>
  <c r="AP76" i="42812"/>
  <c r="X76" i="42812"/>
  <c r="P312" i="42812"/>
  <c r="V66" i="42812"/>
  <c r="U86" i="42812"/>
  <c r="N75" i="42812"/>
  <c r="H74" i="42812"/>
  <c r="AA74" i="42812"/>
  <c r="AB74" i="42812"/>
  <c r="AL74" i="42812"/>
  <c r="AP77" i="42812"/>
  <c r="X77" i="42812"/>
  <c r="P252" i="42812"/>
  <c r="AJ117" i="42812"/>
  <c r="AJ118" i="42812"/>
  <c r="P373" i="42812"/>
  <c r="V80" i="42812"/>
  <c r="V82" i="42812"/>
  <c r="P389" i="42812"/>
  <c r="V73" i="42812"/>
  <c r="X117" i="42812"/>
  <c r="X118" i="42812"/>
  <c r="P303" i="42812"/>
  <c r="L256" i="42812" a="1"/>
  <c r="L256" i="42812" s="1"/>
  <c r="L258" i="42812" a="1"/>
  <c r="L258" i="42812" s="1"/>
  <c r="L269" i="42812" a="1"/>
  <c r="L269" i="42812" s="1"/>
  <c r="L260" i="42812" a="1"/>
  <c r="L260" i="42812" s="1"/>
  <c r="L265" i="42812" a="1"/>
  <c r="L265" i="42812" s="1"/>
  <c r="L249" i="42812" a="1"/>
  <c r="L249" i="42812" s="1"/>
  <c r="M253" i="42812"/>
  <c r="M248" i="42812"/>
  <c r="M243" i="42812"/>
  <c r="M262" i="42812"/>
  <c r="L253" i="42812" a="1"/>
  <c r="L253" i="42812" s="1"/>
  <c r="M246" i="42812"/>
  <c r="L264" i="42812" a="1"/>
  <c r="L264" i="42812" s="1"/>
  <c r="L261" i="42812" a="1"/>
  <c r="L261" i="42812" s="1"/>
  <c r="L262" i="42812" a="1"/>
  <c r="L262" i="42812" s="1"/>
  <c r="M250" i="42812"/>
  <c r="M254" i="42812"/>
  <c r="M241" i="42812"/>
  <c r="L252" i="42812" a="1"/>
  <c r="L252" i="42812" s="1"/>
  <c r="L257" i="42812" a="1"/>
  <c r="L257" i="42812" s="1"/>
  <c r="M268" i="42812"/>
  <c r="M270" i="42812"/>
  <c r="L268" i="42812" a="1"/>
  <c r="L268" i="42812" s="1"/>
  <c r="L247" i="42812" a="1"/>
  <c r="L247" i="42812" s="1"/>
  <c r="M245" i="42812"/>
  <c r="L266" i="42812" a="1"/>
  <c r="L266" i="42812" s="1"/>
  <c r="L254" i="42812" a="1"/>
  <c r="L254" i="42812" s="1"/>
  <c r="M269" i="42812"/>
  <c r="M249" i="42812"/>
  <c r="L250" i="42812" a="1"/>
  <c r="L250" i="42812" s="1"/>
  <c r="M257" i="42812"/>
  <c r="M242" i="42812"/>
  <c r="M260" i="42812"/>
  <c r="M267" i="42812"/>
  <c r="M252" i="42812"/>
  <c r="M264" i="42812"/>
  <c r="L263" i="42812" a="1"/>
  <c r="L263" i="42812" s="1"/>
  <c r="L246" i="42812" a="1"/>
  <c r="L246" i="42812" s="1"/>
  <c r="L259" i="42812" a="1"/>
  <c r="L259" i="42812" s="1"/>
  <c r="M244" i="42812"/>
  <c r="M263" i="42812"/>
  <c r="M265" i="42812"/>
  <c r="L270" i="42812" a="1"/>
  <c r="L270" i="42812" s="1"/>
  <c r="L255" i="42812" a="1"/>
  <c r="L255" i="42812" s="1"/>
  <c r="M247" i="42812"/>
  <c r="M261" i="42812"/>
  <c r="M251" i="42812"/>
  <c r="M259" i="42812"/>
  <c r="M266" i="42812"/>
  <c r="M256" i="42812"/>
  <c r="L267" i="42812" a="1"/>
  <c r="L267" i="42812" s="1"/>
  <c r="M255" i="42812"/>
  <c r="L248" i="42812" a="1"/>
  <c r="L248" i="42812" s="1"/>
  <c r="L251" i="42812" a="1"/>
  <c r="L251" i="42812" s="1"/>
  <c r="M258" i="42812"/>
  <c r="P386" i="42812"/>
  <c r="P315" i="42812"/>
  <c r="V75" i="42812"/>
  <c r="AP73" i="42812"/>
  <c r="X73" i="42812"/>
  <c r="N77" i="42812"/>
  <c r="V70" i="42812"/>
  <c r="L82" i="42812"/>
  <c r="AM82" i="42812"/>
  <c r="V83" i="42812"/>
  <c r="V78" i="42812"/>
  <c r="P307" i="42812"/>
  <c r="AU118" i="42812"/>
  <c r="AU117" i="42812"/>
  <c r="Z70" i="42812"/>
  <c r="L78" i="42812"/>
  <c r="AM78" i="42812"/>
  <c r="M86" i="42812"/>
  <c r="N66" i="42812"/>
  <c r="AL83" i="42812"/>
  <c r="H83" i="42812"/>
  <c r="AA83" i="42812"/>
  <c r="AB83" i="42812"/>
  <c r="H72" i="42812"/>
  <c r="AL72" i="42812"/>
  <c r="AA72" i="42812"/>
  <c r="AB72" i="42812"/>
  <c r="Z85" i="42812"/>
  <c r="V85" i="42812"/>
  <c r="V72" i="42812"/>
  <c r="CB117" i="42812"/>
  <c r="CB118" i="42812"/>
  <c r="AO76" i="42812"/>
  <c r="T76" i="42812"/>
  <c r="AF118" i="42812"/>
  <c r="AF117" i="42812"/>
  <c r="AO73" i="42812"/>
  <c r="T73" i="42812"/>
  <c r="N85" i="42812"/>
  <c r="Z66" i="42812"/>
  <c r="Y86" i="42812"/>
  <c r="BO118" i="42812"/>
  <c r="BO117" i="42812"/>
  <c r="BZ117" i="42812"/>
  <c r="BZ118" i="42812"/>
  <c r="Z84" i="42812"/>
  <c r="N79" i="42812"/>
  <c r="AK117" i="42812"/>
  <c r="AK118" i="42812"/>
  <c r="L369" i="42812" a="1"/>
  <c r="L369" i="42812" s="1"/>
  <c r="M366" i="42812"/>
  <c r="L382" i="42812" a="1"/>
  <c r="L382" i="42812" s="1"/>
  <c r="L378" i="42812" a="1"/>
  <c r="L378" i="42812" s="1"/>
  <c r="M383" i="42812"/>
  <c r="M382" i="42812"/>
  <c r="L384" i="42812" a="1"/>
  <c r="L384" i="42812" s="1"/>
  <c r="M362" i="42812"/>
  <c r="M371" i="42812"/>
  <c r="M375" i="42812"/>
  <c r="M380" i="42812"/>
  <c r="L371" i="42812" a="1"/>
  <c r="L371" i="42812" s="1"/>
  <c r="M379" i="42812"/>
  <c r="L385" i="42812" a="1"/>
  <c r="L385" i="42812" s="1"/>
  <c r="M364" i="42812"/>
  <c r="L363" i="42812" a="1"/>
  <c r="L363" i="42812" s="1"/>
  <c r="L380" i="42812" a="1"/>
  <c r="L380" i="42812" s="1"/>
  <c r="L390" i="42812" a="1"/>
  <c r="L390" i="42812" s="1"/>
  <c r="M389" i="42812"/>
  <c r="M377" i="42812"/>
  <c r="L389" i="42812" a="1"/>
  <c r="L389" i="42812" s="1"/>
  <c r="L376" i="42812" a="1"/>
  <c r="L376" i="42812" s="1"/>
  <c r="M376" i="42812"/>
  <c r="L367" i="42812" a="1"/>
  <c r="L367" i="42812" s="1"/>
  <c r="M369" i="42812"/>
  <c r="L379" i="42812" a="1"/>
  <c r="L379" i="42812" s="1"/>
  <c r="L374" i="42812" a="1"/>
  <c r="L374" i="42812" s="1"/>
  <c r="L387" i="42812" a="1"/>
  <c r="L387" i="42812" s="1"/>
  <c r="M363" i="42812"/>
  <c r="M367" i="42812"/>
  <c r="L375" i="42812" a="1"/>
  <c r="L375" i="42812" s="1"/>
  <c r="L370" i="42812" a="1"/>
  <c r="L370" i="42812" s="1"/>
  <c r="L383" i="42812" a="1"/>
  <c r="L383" i="42812" s="1"/>
  <c r="L372" i="42812" a="1"/>
  <c r="L372" i="42812" s="1"/>
  <c r="L373" i="42812" a="1"/>
  <c r="L373" i="42812" s="1"/>
  <c r="L368" i="42812" a="1"/>
  <c r="L368" i="42812" s="1"/>
  <c r="M374" i="42812"/>
  <c r="M384" i="42812"/>
  <c r="L364" i="42812" a="1"/>
  <c r="L364" i="42812" s="1"/>
  <c r="M387" i="42812"/>
  <c r="M388" i="42812"/>
  <c r="L377" i="42812" a="1"/>
  <c r="L377" i="42812" s="1"/>
  <c r="M373" i="42812"/>
  <c r="M365" i="42812"/>
  <c r="L388" i="42812" a="1"/>
  <c r="L388" i="42812" s="1"/>
  <c r="M381" i="42812"/>
  <c r="M372" i="42812"/>
  <c r="M385" i="42812"/>
  <c r="M368" i="42812"/>
  <c r="L381" i="42812" a="1"/>
  <c r="L381" i="42812" s="1"/>
  <c r="L362" i="42812" a="1"/>
  <c r="L362" i="42812" s="1"/>
  <c r="M378" i="42812"/>
  <c r="M386" i="42812"/>
  <c r="M390" i="42812"/>
  <c r="L386" i="42812" a="1"/>
  <c r="L386" i="42812" s="1"/>
  <c r="L366" i="42812" a="1"/>
  <c r="L366" i="42812" s="1"/>
  <c r="L365" i="42812" a="1"/>
  <c r="L365" i="42812" s="1"/>
  <c r="M370" i="42812"/>
  <c r="Z77" i="42812"/>
  <c r="AP74" i="42812"/>
  <c r="X74" i="42812"/>
  <c r="N84" i="42812"/>
  <c r="L74" i="42812"/>
  <c r="AM74" i="42812"/>
  <c r="Z67" i="42812"/>
  <c r="J68" i="42812"/>
  <c r="AD68" i="42812"/>
  <c r="M329" i="42812"/>
  <c r="M310" i="42812"/>
  <c r="M322" i="42812"/>
  <c r="L309" i="42812" a="1"/>
  <c r="L309" i="42812" s="1"/>
  <c r="M311" i="42812"/>
  <c r="L317" i="42812" a="1"/>
  <c r="L317" i="42812" s="1"/>
  <c r="M301" i="42812"/>
  <c r="M314" i="42812"/>
  <c r="L307" i="42812" a="1"/>
  <c r="L307" i="42812" s="1"/>
  <c r="L310" i="42812" a="1"/>
  <c r="L310" i="42812" s="1"/>
  <c r="M315" i="42812"/>
  <c r="L314" i="42812" a="1"/>
  <c r="L314" i="42812" s="1"/>
  <c r="L306" i="42812" a="1"/>
  <c r="L306" i="42812" s="1"/>
  <c r="L325" i="42812" a="1"/>
  <c r="L325" i="42812" s="1"/>
  <c r="M318" i="42812"/>
  <c r="M320" i="42812"/>
  <c r="L328" i="42812" a="1"/>
  <c r="L328" i="42812" s="1"/>
  <c r="M313" i="42812"/>
  <c r="L318" i="42812" a="1"/>
  <c r="L318" i="42812" s="1"/>
  <c r="L313" i="42812" a="1"/>
  <c r="L313" i="42812" s="1"/>
  <c r="M304" i="42812"/>
  <c r="M325" i="42812"/>
  <c r="L329" i="42812" a="1"/>
  <c r="L329" i="42812" s="1"/>
  <c r="M302" i="42812"/>
  <c r="L324" i="42812" a="1"/>
  <c r="L324" i="42812" s="1"/>
  <c r="M307" i="42812"/>
  <c r="L327" i="42812" a="1"/>
  <c r="L327" i="42812" s="1"/>
  <c r="M312" i="42812"/>
  <c r="M326" i="42812"/>
  <c r="L311" i="42812" a="1"/>
  <c r="L311" i="42812" s="1"/>
  <c r="M321" i="42812"/>
  <c r="L319" i="42812" a="1"/>
  <c r="L319" i="42812" s="1"/>
  <c r="L320" i="42812" a="1"/>
  <c r="L320" i="42812" s="1"/>
  <c r="M328" i="42812"/>
  <c r="M319" i="42812"/>
  <c r="M327" i="42812"/>
  <c r="M324" i="42812"/>
  <c r="L326" i="42812" a="1"/>
  <c r="L326" i="42812" s="1"/>
  <c r="M308" i="42812"/>
  <c r="M323" i="42812"/>
  <c r="L308" i="42812" a="1"/>
  <c r="L308" i="42812" s="1"/>
  <c r="M305" i="42812"/>
  <c r="M303" i="42812"/>
  <c r="M306" i="42812"/>
  <c r="M316" i="42812"/>
  <c r="L316" i="42812" a="1"/>
  <c r="L316" i="42812" s="1"/>
  <c r="L330" i="42812" a="1"/>
  <c r="L330" i="42812" s="1"/>
  <c r="L323" i="42812" a="1"/>
  <c r="L323" i="42812" s="1"/>
  <c r="L312" i="42812" a="1"/>
  <c r="L312" i="42812" s="1"/>
  <c r="M309" i="42812"/>
  <c r="L322" i="42812" a="1"/>
  <c r="L322" i="42812" s="1"/>
  <c r="L315" i="42812" a="1"/>
  <c r="L315" i="42812" s="1"/>
  <c r="M317" i="42812"/>
  <c r="L321" i="42812" a="1"/>
  <c r="L321" i="42812" s="1"/>
  <c r="M330" i="42812"/>
  <c r="N109" i="42812"/>
  <c r="AL52" i="42812" s="1"/>
  <c r="L188" i="42812" a="1"/>
  <c r="L275" i="42812" a="1"/>
  <c r="L303" i="42812" a="1"/>
  <c r="L183" i="42812" a="1"/>
  <c r="L192" i="42812" a="1"/>
  <c r="L182" i="42812" a="1"/>
  <c r="L274" i="42812" a="1"/>
  <c r="L271" i="42812" a="1"/>
  <c r="L272" i="42812" a="1"/>
  <c r="L304" i="42812" a="1"/>
  <c r="L213" i="42812" a="1"/>
  <c r="L244" i="42812" a="1"/>
  <c r="L212" i="42812" a="1"/>
  <c r="L185" i="42812" a="1"/>
  <c r="L191" i="42812" a="1"/>
  <c r="L243" i="42812" a="1"/>
  <c r="L242" i="42812" a="1"/>
  <c r="L190" i="42812" a="1"/>
  <c r="L184" i="42812" a="1"/>
  <c r="L245" i="42812" a="1"/>
  <c r="L273" i="42812" a="1"/>
  <c r="L214" i="42812" a="1"/>
  <c r="L189" i="42812" a="1"/>
  <c r="L302" i="42812" a="1"/>
  <c r="L186" i="42812" a="1"/>
  <c r="L215" i="42812" a="1"/>
  <c r="L187" i="42812" a="1"/>
  <c r="L305" i="42812" a="1"/>
  <c r="L96" i="42812" a="1"/>
  <c r="L95" i="42812" a="1"/>
  <c r="L152" i="42812" a="1"/>
  <c r="L154" i="42812" a="1"/>
  <c r="L155" i="42812" a="1"/>
  <c r="L94" i="42812" a="1"/>
  <c r="L160" i="42812" a="1"/>
  <c r="L121" i="42812" a="1"/>
  <c r="L126" i="42812" a="1"/>
  <c r="L157" i="42812" a="1"/>
  <c r="L99" i="42812" a="1"/>
  <c r="L122" i="42812" a="1"/>
  <c r="L151" i="42812" a="1"/>
  <c r="L125" i="42812" a="1"/>
  <c r="L124" i="42812" a="1"/>
  <c r="L156" i="42812" a="1"/>
  <c r="L159" i="42812" a="1"/>
  <c r="L158" i="42812" a="1"/>
  <c r="L153" i="42812" a="1"/>
  <c r="L98" i="42812" a="1"/>
  <c r="L97" i="42812" a="1"/>
  <c r="L123" i="42812" a="1"/>
  <c r="L93" i="42812" a="1"/>
  <c r="L92" i="42812" a="1"/>
  <c r="L661" i="42812" a="1"/>
  <c r="P181" i="42812" a="1"/>
  <c r="P571" i="42812" a="1"/>
  <c r="P661" i="42812" a="1"/>
  <c r="P202" i="42812" a="1"/>
  <c r="P301" i="42812" a="1"/>
  <c r="P121" i="42812" a="1"/>
  <c r="P511" i="42812" a="1"/>
  <c r="P451" i="42812" a="1"/>
  <c r="P361" i="42812" a="1"/>
  <c r="P391" i="42812" a="1"/>
  <c r="P331" i="42812" a="1"/>
  <c r="P151" i="42812" a="1"/>
  <c r="P421" i="42812" a="1"/>
  <c r="P541" i="42812" a="1"/>
  <c r="P241" i="42812" a="1"/>
  <c r="P601" i="42812" a="1"/>
  <c r="P481" i="42812" a="1"/>
  <c r="P271" i="42812" a="1"/>
  <c r="P631" i="42812" a="1"/>
  <c r="P211" i="42812" a="1"/>
  <c r="BD119" i="42812" l="1"/>
  <c r="J31" i="42790" s="1"/>
  <c r="AG119" i="42812"/>
  <c r="J28" i="42790" s="1"/>
  <c r="AQ119" i="42812"/>
  <c r="J30" i="42790" s="1"/>
  <c r="BT119" i="42812"/>
  <c r="J33" i="42790" s="1"/>
  <c r="BM119" i="42812"/>
  <c r="J32" i="42790" s="1"/>
  <c r="U119" i="42812"/>
  <c r="J27" i="42790" s="1"/>
  <c r="L661" i="42812"/>
  <c r="L99" i="42812"/>
  <c r="AN52" i="42812"/>
  <c r="O121" i="42812"/>
  <c r="P202" i="42812"/>
  <c r="AF120" i="42812"/>
  <c r="K62" i="42790" s="1"/>
  <c r="AE75" i="42812"/>
  <c r="AC82" i="42812"/>
  <c r="AF82" i="42812" s="1"/>
  <c r="BO120" i="42812"/>
  <c r="K97" i="42790" s="1"/>
  <c r="CA120" i="42812"/>
  <c r="AV120" i="42812"/>
  <c r="K78" i="42790" s="1"/>
  <c r="BA120" i="42812"/>
  <c r="K83" i="42790" s="1"/>
  <c r="AC81" i="42812"/>
  <c r="AF81" i="42812" s="1"/>
  <c r="BY120" i="42812"/>
  <c r="BG120" i="42812"/>
  <c r="K89" i="42790" s="1"/>
  <c r="AQ120" i="42812"/>
  <c r="X123" i="42812" s="1"/>
  <c r="P3" i="42840" s="1"/>
  <c r="AR120" i="42812"/>
  <c r="K74" i="42790" s="1"/>
  <c r="BC120" i="42812"/>
  <c r="K85" i="42790" s="1"/>
  <c r="BB120" i="42812"/>
  <c r="M601" i="42812"/>
  <c r="AC79" i="42812"/>
  <c r="AF79" i="42812" s="1"/>
  <c r="BX120" i="42812"/>
  <c r="AC78" i="42812"/>
  <c r="AF78" i="42812" s="1"/>
  <c r="AT120" i="42812"/>
  <c r="K76" i="42790" s="1"/>
  <c r="AC67" i="42812"/>
  <c r="AF67" i="42812" s="1"/>
  <c r="AC72" i="42812"/>
  <c r="AF72" i="42812" s="1"/>
  <c r="AC70" i="42812"/>
  <c r="AF70" i="42812" s="1"/>
  <c r="BK120" i="42812"/>
  <c r="AE76" i="42812"/>
  <c r="AE81" i="42812"/>
  <c r="CD120" i="42812"/>
  <c r="Y120" i="42812"/>
  <c r="K55" i="42790" s="1"/>
  <c r="BH120" i="42812"/>
  <c r="K90" i="42790" s="1"/>
  <c r="U120" i="42812"/>
  <c r="U123" i="42812" s="1"/>
  <c r="M3" i="42840" s="1"/>
  <c r="AE73" i="42812"/>
  <c r="AE69" i="42812"/>
  <c r="AE74" i="42812"/>
  <c r="BJ120" i="42812"/>
  <c r="K92" i="42790" s="1"/>
  <c r="AC120" i="42812"/>
  <c r="K59" i="42790" s="1"/>
  <c r="AE84" i="42812"/>
  <c r="AE66" i="42812"/>
  <c r="BD120" i="42812"/>
  <c r="Y123" i="42812" s="1"/>
  <c r="Q3" i="42840" s="1"/>
  <c r="BQ120" i="42812"/>
  <c r="K99" i="42790" s="1"/>
  <c r="AW120" i="42812"/>
  <c r="K79" i="42790" s="1"/>
  <c r="AE80" i="42812"/>
  <c r="AC83" i="42812"/>
  <c r="AF83" i="42812" s="1"/>
  <c r="BT120" i="42812"/>
  <c r="AA123" i="42812" s="1"/>
  <c r="S3" i="42840" s="1"/>
  <c r="AE85" i="42812"/>
  <c r="AE79" i="42812"/>
  <c r="X120" i="42812"/>
  <c r="K54" i="42790" s="1"/>
  <c r="AE68" i="42812"/>
  <c r="V120" i="42812"/>
  <c r="K52" i="42790" s="1"/>
  <c r="BM120" i="42812"/>
  <c r="Z123" i="42812" s="1"/>
  <c r="R3" i="42840" s="1"/>
  <c r="BP120" i="42812"/>
  <c r="K98" i="42790" s="1"/>
  <c r="AG120" i="42812"/>
  <c r="V123" i="42812" s="1"/>
  <c r="N3" i="42840" s="1"/>
  <c r="AE72" i="42812"/>
  <c r="AH120" i="42812"/>
  <c r="K64" i="42790" s="1"/>
  <c r="AB120" i="42812"/>
  <c r="K58" i="42790" s="1"/>
  <c r="AC66" i="42812"/>
  <c r="AF66" i="42812" s="1"/>
  <c r="BV120" i="42812"/>
  <c r="AC74" i="42812"/>
  <c r="AF74" i="42812" s="1"/>
  <c r="AY120" i="42812"/>
  <c r="K81" i="42790" s="1"/>
  <c r="L571" i="42812" a="1"/>
  <c r="L571" i="42812" s="1"/>
  <c r="BE120" i="42812"/>
  <c r="K87" i="42790" s="1"/>
  <c r="AK120" i="42812"/>
  <c r="K67" i="42790" s="1"/>
  <c r="BI120" i="42812"/>
  <c r="K91" i="42790" s="1"/>
  <c r="AC69" i="42812"/>
  <c r="AF69" i="42812" s="1"/>
  <c r="AC84" i="42812"/>
  <c r="AF84" i="42812" s="1"/>
  <c r="BF120" i="42812"/>
  <c r="K88" i="42790" s="1"/>
  <c r="AE83" i="42812"/>
  <c r="AD120" i="42812"/>
  <c r="AJ120" i="42812"/>
  <c r="BN120" i="42812"/>
  <c r="K96" i="42790" s="1"/>
  <c r="AX120" i="42812"/>
  <c r="K80" i="42790" s="1"/>
  <c r="AZ120" i="42812"/>
  <c r="K82" i="42790" s="1"/>
  <c r="AE70" i="42812"/>
  <c r="AC68" i="42812"/>
  <c r="AF68" i="42812" s="1"/>
  <c r="C88" i="42812"/>
  <c r="AS120" i="42812"/>
  <c r="K75" i="42790" s="1"/>
  <c r="AA120" i="42812"/>
  <c r="K57" i="42790" s="1"/>
  <c r="BZ120" i="42812"/>
  <c r="W120" i="42812"/>
  <c r="K53" i="42790" s="1"/>
  <c r="AI120" i="42812"/>
  <c r="K65" i="42790" s="1"/>
  <c r="AC76" i="42812"/>
  <c r="AF76" i="42812" s="1"/>
  <c r="L451" i="42812" a="1"/>
  <c r="L451" i="42812" s="1"/>
  <c r="L511" i="42812" a="1"/>
  <c r="L511" i="42812" s="1"/>
  <c r="AB86" i="42812"/>
  <c r="AB88" i="42812" s="1"/>
  <c r="AE78" i="42812"/>
  <c r="CC120" i="42812"/>
  <c r="AC75" i="42812"/>
  <c r="AF75" i="42812" s="1"/>
  <c r="AE71" i="42812"/>
  <c r="AC85" i="42812"/>
  <c r="AF85" i="42812" s="1"/>
  <c r="AE67" i="42812"/>
  <c r="BR120" i="42812"/>
  <c r="M661" i="42812"/>
  <c r="AE77" i="42812"/>
  <c r="AC77" i="42812"/>
  <c r="AF77" i="42812" s="1"/>
  <c r="M391" i="42812"/>
  <c r="AC71" i="42812"/>
  <c r="AF71" i="42812" s="1"/>
  <c r="M331" i="42812"/>
  <c r="AC73" i="42812"/>
  <c r="AF73" i="42812" s="1"/>
  <c r="AC80" i="42812"/>
  <c r="AF80" i="42812" s="1"/>
  <c r="CB120" i="42812"/>
  <c r="BU120" i="42812"/>
  <c r="BW120" i="42812"/>
  <c r="AU120" i="42812"/>
  <c r="K77" i="42790" s="1"/>
  <c r="AE82" i="42812"/>
  <c r="L245" i="42812"/>
  <c r="L275" i="42812"/>
  <c r="P541" i="42812"/>
  <c r="L159" i="42812"/>
  <c r="P421" i="42812"/>
  <c r="P361" i="42812"/>
  <c r="P481" i="42812"/>
  <c r="L93" i="42812"/>
  <c r="L184" i="42812"/>
  <c r="P301" i="42812"/>
  <c r="L191" i="42812"/>
  <c r="L158" i="42812"/>
  <c r="L157" i="42812"/>
  <c r="P631" i="42812"/>
  <c r="L182" i="42812"/>
  <c r="L185" i="42812"/>
  <c r="L95" i="42812"/>
  <c r="P451" i="42812"/>
  <c r="L192" i="42812"/>
  <c r="L273" i="42812"/>
  <c r="L214" i="42812"/>
  <c r="L186" i="42812"/>
  <c r="P391" i="42812"/>
  <c r="L123" i="42812"/>
  <c r="P571" i="42812"/>
  <c r="L242" i="42812"/>
  <c r="L97" i="42812"/>
  <c r="P511" i="42812"/>
  <c r="L213" i="42812"/>
  <c r="L183" i="42812"/>
  <c r="P601" i="42812"/>
  <c r="L153" i="42812"/>
  <c r="L303" i="42812"/>
  <c r="P241" i="42812"/>
  <c r="L154" i="42812"/>
  <c r="L96" i="42812"/>
  <c r="L122" i="42812"/>
  <c r="L274" i="42812"/>
  <c r="L156" i="42812"/>
  <c r="L190" i="42812"/>
  <c r="P211" i="42812"/>
  <c r="L94" i="42812"/>
  <c r="L189" i="42812"/>
  <c r="L92" i="42812"/>
  <c r="L305" i="42812"/>
  <c r="L243" i="42812"/>
  <c r="L125" i="42812"/>
  <c r="P661" i="42812"/>
  <c r="P271" i="42812"/>
  <c r="L126" i="42812"/>
  <c r="L152" i="42812"/>
  <c r="P181" i="42812"/>
  <c r="L160" i="42812"/>
  <c r="L124" i="42812"/>
  <c r="L272" i="42812"/>
  <c r="L155" i="42812"/>
  <c r="P151" i="42812"/>
  <c r="L98" i="42812"/>
  <c r="L212" i="42812"/>
  <c r="P121" i="42812"/>
  <c r="L187" i="42812"/>
  <c r="P331" i="42812"/>
  <c r="L302" i="42812"/>
  <c r="L304" i="42812"/>
  <c r="L244" i="42812"/>
  <c r="L215" i="42812"/>
  <c r="L188" i="42812"/>
  <c r="Z120" i="42812"/>
  <c r="K56" i="42790" s="1"/>
  <c r="M361" i="42812"/>
  <c r="L481" i="42812" a="1"/>
  <c r="L481" i="42812" s="1"/>
  <c r="L541" i="42812" a="1"/>
  <c r="L541" i="42812" s="1"/>
  <c r="L361" i="42812" a="1"/>
  <c r="L361" i="42812" s="1"/>
  <c r="M481" i="42812"/>
  <c r="AD86" i="42812"/>
  <c r="AB89" i="42812" s="1"/>
  <c r="M541" i="42812"/>
  <c r="M421" i="42812"/>
  <c r="AI68" i="42812" s="1"/>
  <c r="L631" i="42812" a="1"/>
  <c r="L631" i="42812" s="1"/>
  <c r="L421" i="42812" a="1"/>
  <c r="L421" i="42812" s="1"/>
  <c r="M631" i="42812"/>
  <c r="N108" i="42812"/>
  <c r="AL51" i="42812" s="1"/>
  <c r="AN51" i="42812" s="1"/>
  <c r="L121" i="42812"/>
  <c r="L151" i="42812"/>
  <c r="L271" i="42812"/>
  <c r="L211" i="42812" a="1"/>
  <c r="L301" i="42812" a="1"/>
  <c r="L241" i="42812" a="1"/>
  <c r="L181" i="42812" a="1"/>
  <c r="M32" i="42790" l="1"/>
  <c r="T93" i="42812"/>
  <c r="M27" i="42790"/>
  <c r="T88" i="42812"/>
  <c r="M31" i="42790"/>
  <c r="T92" i="42812"/>
  <c r="M30" i="42790"/>
  <c r="T91" i="42812"/>
  <c r="M28" i="42790"/>
  <c r="T89" i="42812"/>
  <c r="M33" i="42790"/>
  <c r="T94" i="42812"/>
  <c r="K100" i="42790"/>
  <c r="K93" i="42790"/>
  <c r="K84" i="42790"/>
  <c r="K60" i="42790"/>
  <c r="K66" i="42790"/>
  <c r="AI77" i="42812"/>
  <c r="AI71" i="42812"/>
  <c r="AI79" i="42812"/>
  <c r="AI84" i="42812"/>
  <c r="AI82" i="42812"/>
  <c r="AI78" i="42812"/>
  <c r="AI75" i="42812"/>
  <c r="AI80" i="42812"/>
  <c r="AI83" i="42812"/>
  <c r="AI69" i="42812"/>
  <c r="AI81" i="42812"/>
  <c r="AI72" i="42812"/>
  <c r="AI66" i="42812"/>
  <c r="AI74" i="42812"/>
  <c r="AI70" i="42812"/>
  <c r="AI73" i="42812"/>
  <c r="AI85" i="42812"/>
  <c r="AI76" i="42812"/>
  <c r="AI67" i="42812"/>
  <c r="N120" i="42812"/>
  <c r="O120" i="42812" s="1"/>
  <c r="N119" i="42812" s="1"/>
  <c r="O119" i="42812" s="1"/>
  <c r="N118" i="42812" s="1"/>
  <c r="O118" i="42812" s="1"/>
  <c r="N117" i="42812" s="1"/>
  <c r="O117" i="42812" s="1"/>
  <c r="N116" i="42812" s="1"/>
  <c r="O116" i="42812" s="1"/>
  <c r="N115" i="42812" s="1"/>
  <c r="O115" i="42812" s="1"/>
  <c r="N114" i="42812" s="1"/>
  <c r="O114" i="42812" s="1"/>
  <c r="N113" i="42812" s="1"/>
  <c r="O113" i="42812" s="1"/>
  <c r="N112" i="42812" s="1"/>
  <c r="O112" i="42812" s="1"/>
  <c r="N111" i="42812" s="1"/>
  <c r="O111" i="42812" s="1"/>
  <c r="N110" i="42812" s="1"/>
  <c r="AL53" i="42812" s="1"/>
  <c r="AN53" i="42812" s="1"/>
  <c r="K110" i="42790"/>
  <c r="K109" i="42790"/>
  <c r="K105" i="42790"/>
  <c r="K103" i="42790"/>
  <c r="K104" i="42790"/>
  <c r="K107" i="42790"/>
  <c r="K106" i="42790"/>
  <c r="K108" i="42790"/>
  <c r="K112" i="42790"/>
  <c r="K111" i="42790"/>
  <c r="L241" i="42812"/>
  <c r="L211" i="42812"/>
  <c r="AB90" i="42812"/>
  <c r="AB91" i="42812" s="1"/>
  <c r="E30" i="42790"/>
  <c r="E33" i="42790"/>
  <c r="F34" i="42790"/>
  <c r="G28" i="42790"/>
  <c r="G31" i="42790"/>
  <c r="N690" i="42812"/>
  <c r="E31" i="42790"/>
  <c r="F30" i="42790"/>
  <c r="F31" i="42790"/>
  <c r="K8" i="42790"/>
  <c r="E28" i="42790"/>
  <c r="E34" i="42790"/>
  <c r="G33" i="42790"/>
  <c r="F32" i="42790"/>
  <c r="G29" i="42790"/>
  <c r="G34" i="42790"/>
  <c r="F28" i="42790"/>
  <c r="E32" i="42790"/>
  <c r="E27" i="42790"/>
  <c r="G30" i="42790"/>
  <c r="G32" i="42790"/>
  <c r="E29" i="42790"/>
  <c r="F29" i="42790"/>
  <c r="F33" i="42790"/>
  <c r="L181" i="42812"/>
  <c r="L301" i="42812"/>
  <c r="N107" i="42812"/>
  <c r="AL50" i="42812" s="1"/>
  <c r="AN50" i="42812" s="1"/>
  <c r="AG85" i="42812" l="1"/>
  <c r="AI86" i="42812"/>
  <c r="AG83" i="42812"/>
  <c r="AH83" i="42812"/>
  <c r="AH84" i="42812"/>
  <c r="AH85" i="42812"/>
  <c r="AG84" i="42812"/>
  <c r="N106" i="42812"/>
  <c r="AG82" i="42812"/>
  <c r="AH82" i="42812" l="1"/>
  <c r="AL49" i="42812"/>
  <c r="AN49" i="42812" s="1"/>
  <c r="N105" i="42812"/>
  <c r="AG81" i="42812"/>
  <c r="AH81" i="42812" l="1"/>
  <c r="AL48" i="42812"/>
  <c r="AN48" i="42812" s="1"/>
  <c r="N104" i="42812"/>
  <c r="AG80" i="42812"/>
  <c r="AH80" i="42812" l="1"/>
  <c r="AL47" i="42812"/>
  <c r="AN47" i="42812" s="1"/>
  <c r="N103" i="42812"/>
  <c r="AG79" i="42812"/>
  <c r="AH79" i="42812" l="1"/>
  <c r="AL46" i="42812"/>
  <c r="AN46" i="42812" s="1"/>
  <c r="N102" i="42812"/>
  <c r="AG78" i="42812"/>
  <c r="AH78" i="42812" l="1"/>
  <c r="AL45" i="42812"/>
  <c r="AN45" i="42812" s="1"/>
  <c r="N101" i="42812"/>
  <c r="AG77" i="42812"/>
  <c r="AH77" i="42812" l="1"/>
  <c r="AL44" i="42812"/>
  <c r="AN44" i="42812" s="1"/>
  <c r="N100" i="42812"/>
  <c r="AG76" i="42812"/>
  <c r="AH76" i="42812" l="1"/>
  <c r="AL43" i="42812"/>
  <c r="AN43" i="42812" s="1"/>
  <c r="N99" i="42812"/>
  <c r="AG75" i="42812"/>
  <c r="AH75" i="42812" l="1"/>
  <c r="AL42" i="42812"/>
  <c r="AN42" i="42812" s="1"/>
  <c r="N98" i="42812"/>
  <c r="AG74" i="42812"/>
  <c r="AH74" i="42812" l="1"/>
  <c r="AL41" i="42812"/>
  <c r="AN41" i="42812" s="1"/>
  <c r="N97" i="42812"/>
  <c r="AG73" i="42812"/>
  <c r="AH73" i="42812" l="1"/>
  <c r="AL40" i="42812"/>
  <c r="AN40" i="42812" s="1"/>
  <c r="N96" i="42812"/>
  <c r="AG72" i="42812"/>
  <c r="AH72" i="42812" l="1"/>
  <c r="AL39" i="42812"/>
  <c r="AN39" i="42812" s="1"/>
  <c r="N95" i="42812"/>
  <c r="AG71" i="42812"/>
  <c r="AH71" i="42812" l="1"/>
  <c r="AL38" i="42812"/>
  <c r="AN38" i="42812" s="1"/>
  <c r="N94" i="42812"/>
  <c r="AG70" i="42812"/>
  <c r="AH70" i="42812" l="1"/>
  <c r="AL37" i="42812"/>
  <c r="AN37" i="42812" s="1"/>
  <c r="N93" i="42812"/>
  <c r="AG69" i="42812"/>
  <c r="AH69" i="42812" l="1"/>
  <c r="AL36" i="42812"/>
  <c r="AN36" i="42812" s="1"/>
  <c r="N92" i="42812"/>
  <c r="AG68" i="42812"/>
  <c r="AH68" i="42812" l="1"/>
  <c r="AL35" i="42812"/>
  <c r="AN35" i="42812" s="1"/>
  <c r="AG67" i="42812"/>
  <c r="AH67" i="42812" l="1"/>
  <c r="AH66" i="42812"/>
  <c r="AG66" i="42812"/>
  <c r="AG86" i="42812" s="1"/>
  <c r="G27" i="42790"/>
  <c r="F27" i="42790"/>
  <c r="F9" i="42790"/>
  <c r="F7" i="42790"/>
  <c r="F8" i="42790" s="1"/>
  <c r="K13" i="42790" s="1"/>
  <c r="F10" i="42790" l="1"/>
  <c r="E3" i="42840" s="1"/>
  <c r="D3" i="42840"/>
  <c r="AH86" i="428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Hewlett-Packard</author>
  </authors>
  <commentList>
    <comment ref="G13" authorId="0" shapeId="0" xr:uid="{F9E81D92-CDB0-4FBC-A0CE-5071A3C67C33}">
      <text>
        <r>
          <rPr>
            <b/>
            <sz val="9"/>
            <color indexed="81"/>
            <rFont val="Tahoma"/>
            <family val="2"/>
          </rPr>
          <t xml:space="preserve">An Error is:
</t>
        </r>
        <r>
          <rPr>
            <sz val="9"/>
            <color indexed="81"/>
            <rFont val="Tahoma"/>
            <family val="2"/>
          </rPr>
          <t xml:space="preserve">1. any missing or incorrect billing indicator, data entry error
2. Note is documented past 14 days from date of service
3. PN missing required documention elements
such as medical necessity, impairment, intervention, response, plan.
</t>
        </r>
      </text>
    </comment>
    <comment ref="H13" authorId="0" shapeId="0" xr:uid="{EF01C7A2-B5C8-4C19-9C49-4427822E07BA}">
      <text>
        <r>
          <rPr>
            <b/>
            <sz val="9"/>
            <color indexed="81"/>
            <rFont val="Tahoma"/>
            <family val="2"/>
          </rPr>
          <t>If service is not eligible to claim because of an error or non-compliance, enter yes.</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<sst xmlns="http://schemas.openxmlformats.org/spreadsheetml/2006/main" count="5586" uniqueCount="687">
  <si>
    <t>Chart Review Information</t>
  </si>
  <si>
    <t>Turning Point</t>
  </si>
  <si>
    <t>Program Name:</t>
  </si>
  <si>
    <t>Review Period Start:</t>
  </si>
  <si>
    <t>Total Services for Review:</t>
  </si>
  <si>
    <t>Review Period End:</t>
  </si>
  <si>
    <t>Records to be Reviewed</t>
  </si>
  <si>
    <t>Tab</t>
  </si>
  <si>
    <t xml:space="preserve">Med Rec # </t>
  </si>
  <si>
    <t>Consumer</t>
  </si>
  <si>
    <t># Svcs</t>
  </si>
  <si>
    <t>Agcy Reviewing</t>
  </si>
  <si>
    <t>Reviewer</t>
  </si>
  <si>
    <t>Client 1</t>
  </si>
  <si>
    <t>Doe, John</t>
  </si>
  <si>
    <t>Client 2</t>
  </si>
  <si>
    <t>Client 3</t>
  </si>
  <si>
    <t>N/A</t>
  </si>
  <si>
    <t>Client 4</t>
  </si>
  <si>
    <t>Client 5</t>
  </si>
  <si>
    <t>Client 6</t>
  </si>
  <si>
    <t>Client 7</t>
  </si>
  <si>
    <t>Client 8</t>
  </si>
  <si>
    <t>Client 9</t>
  </si>
  <si>
    <t>Client 10</t>
  </si>
  <si>
    <t>Client 11</t>
  </si>
  <si>
    <t>Client 12</t>
  </si>
  <si>
    <t>Client 13</t>
  </si>
  <si>
    <t>Client 14</t>
  </si>
  <si>
    <t>Client 15</t>
  </si>
  <si>
    <t>Client 16</t>
  </si>
  <si>
    <t>Client 17</t>
  </si>
  <si>
    <t>Client 18</t>
  </si>
  <si>
    <t>Client 19</t>
  </si>
  <si>
    <t>Client 20</t>
  </si>
  <si>
    <t xml:space="preserve"> * Use "N/A" in the Medical Record # field for any Client rows that will not be used. Do not leave Medical Record # cells blank.</t>
  </si>
  <si>
    <t>Chart Review Results</t>
  </si>
  <si>
    <t>Review Date:</t>
  </si>
  <si>
    <t>Program Name</t>
  </si>
  <si>
    <t>Review Start Date:</t>
  </si>
  <si>
    <t>Total Services for Review</t>
  </si>
  <si>
    <t>Review End Date:</t>
  </si>
  <si>
    <t># of Disallowed Services</t>
  </si>
  <si>
    <t># of Compliant Charts</t>
  </si>
  <si>
    <t>Disallowance %</t>
  </si>
  <si>
    <t>Compliance %</t>
  </si>
  <si>
    <t>Disallowed Services Cost</t>
  </si>
  <si>
    <t>Yes</t>
  </si>
  <si>
    <t>1
2
3
4
5
6
7
8
9
10
11
12
13
14
15
16</t>
  </si>
  <si>
    <t xml:space="preserve">
</t>
  </si>
  <si>
    <t>Quality Improvement 
Recommendations</t>
  </si>
  <si>
    <t>Total Corrected Services and Disallowances by Client</t>
  </si>
  <si>
    <t>Findings by Category, all Clients</t>
  </si>
  <si>
    <t>Client</t>
  </si>
  <si>
    <t>Services Reviewed</t>
  </si>
  <si>
    <t>Services Corrected</t>
  </si>
  <si>
    <t>Services Disallowed</t>
  </si>
  <si>
    <t>Amount Disallowed</t>
  </si>
  <si>
    <t>Category</t>
  </si>
  <si>
    <t>Assessments (A)</t>
  </si>
  <si>
    <t>Problem List (PL)</t>
  </si>
  <si>
    <t>Progress Notes (PN)</t>
  </si>
  <si>
    <t>Other Documents (OD)</t>
  </si>
  <si>
    <t>Special Services (SS)</t>
  </si>
  <si>
    <t>Billing (B)</t>
  </si>
  <si>
    <t>Totals</t>
  </si>
  <si>
    <t>Requirement</t>
  </si>
  <si>
    <t>Item</t>
  </si>
  <si>
    <t>ASSESSMENTS</t>
  </si>
  <si>
    <t>1
2
3</t>
  </si>
  <si>
    <t>1
2</t>
  </si>
  <si>
    <t>PROBLEM LIST</t>
  </si>
  <si>
    <t>PROGRESS NOTES</t>
  </si>
  <si>
    <t>1
2
3
4</t>
  </si>
  <si>
    <t>OTHER DOCUMENTATION</t>
  </si>
  <si>
    <t>SPECIALIZED SERVICES</t>
  </si>
  <si>
    <t>1
2
3
4
5</t>
  </si>
  <si>
    <t xml:space="preserve">BILLING </t>
  </si>
  <si>
    <t>1
2
3
4
5
6
7
8
9
10
11
12</t>
  </si>
  <si>
    <t>1
2
3
4
5
6
7
8</t>
  </si>
  <si>
    <t xml:space="preserve">1
2
3
4
5
</t>
  </si>
  <si>
    <t>1
2
3
4
5
6</t>
  </si>
  <si>
    <t>Services Change Summary</t>
  </si>
  <si>
    <t>After adding/updating data in the Chart Review Info tab or the individual Client tabs, click on Data &gt; Refresh All to refresh these tables.</t>
  </si>
  <si>
    <t>Services to be Corrected</t>
  </si>
  <si>
    <t>Services to be Disallowed</t>
  </si>
  <si>
    <t>Medical Record #</t>
  </si>
  <si>
    <t>Provider ID</t>
  </si>
  <si>
    <t>Service Code</t>
  </si>
  <si>
    <t>Service Type</t>
  </si>
  <si>
    <t>Service Date</t>
  </si>
  <si>
    <t>Reason for Correction</t>
  </si>
  <si>
    <t>Comments</t>
  </si>
  <si>
    <t>Units</t>
  </si>
  <si>
    <t>Amount Claimed</t>
  </si>
  <si>
    <t>Disallowed Requirement #</t>
  </si>
  <si>
    <t>Include</t>
  </si>
  <si>
    <t>Correction</t>
  </si>
  <si>
    <t>Disallowance</t>
  </si>
  <si>
    <t>UOS</t>
  </si>
  <si>
    <t>Amount</t>
  </si>
  <si>
    <t>Incorrect procedure code</t>
  </si>
  <si>
    <t>NA</t>
  </si>
  <si>
    <t>Grand Total</t>
  </si>
  <si>
    <t>Corrected Claims Reason Codes</t>
  </si>
  <si>
    <t>Code</t>
  </si>
  <si>
    <t>Type</t>
  </si>
  <si>
    <t>Description</t>
  </si>
  <si>
    <t>Full</t>
  </si>
  <si>
    <t>C11</t>
  </si>
  <si>
    <t>Data Entry Error</t>
  </si>
  <si>
    <t>Incorrect date of service</t>
  </si>
  <si>
    <t>C12</t>
  </si>
  <si>
    <t>Incorrect service indicator</t>
  </si>
  <si>
    <t>C13</t>
  </si>
  <si>
    <t>C14</t>
  </si>
  <si>
    <t>Incorrect provider</t>
  </si>
  <si>
    <t>C15</t>
  </si>
  <si>
    <t>Incorrect time</t>
  </si>
  <si>
    <t>C16</t>
  </si>
  <si>
    <t>Incorrect client</t>
  </si>
  <si>
    <t>C17</t>
  </si>
  <si>
    <t>Incorrect unit/sub unit</t>
  </si>
  <si>
    <t>C18</t>
  </si>
  <si>
    <t>Incorrect location code</t>
  </si>
  <si>
    <t>C19</t>
  </si>
  <si>
    <t>Duplicate entry</t>
  </si>
  <si>
    <t>Disallowance Descriptions</t>
  </si>
  <si>
    <t>Req#</t>
  </si>
  <si>
    <t>Section</t>
  </si>
  <si>
    <t>A4</t>
  </si>
  <si>
    <t>Assessment</t>
  </si>
  <si>
    <t>Medical necessity</t>
  </si>
  <si>
    <t>PN2</t>
  </si>
  <si>
    <t>Progress Note</t>
  </si>
  <si>
    <t>Note not signed by service provider</t>
  </si>
  <si>
    <t>B1</t>
  </si>
  <si>
    <t>Billing</t>
  </si>
  <si>
    <t>Evidence of fraud, waste, abuse</t>
  </si>
  <si>
    <t>B2</t>
  </si>
  <si>
    <t>Claim submitted for services during lock-out</t>
  </si>
  <si>
    <t>B3</t>
  </si>
  <si>
    <t>Missing documentation of allowable service</t>
  </si>
  <si>
    <t>B4</t>
  </si>
  <si>
    <t>Date of service mismatch</t>
  </si>
  <si>
    <t>B5</t>
  </si>
  <si>
    <t>Procedure codes do not match service types</t>
  </si>
  <si>
    <t>B6</t>
  </si>
  <si>
    <t>Units of time do not match progress notes</t>
  </si>
  <si>
    <t>B8</t>
  </si>
  <si>
    <t>Multiple providers not clearly counted/described</t>
  </si>
  <si>
    <t>B9</t>
  </si>
  <si>
    <t>Services not within provider scope</t>
  </si>
  <si>
    <t>B10</t>
  </si>
  <si>
    <t>Group note does not identify # of beneficiaries</t>
  </si>
  <si>
    <t>B11</t>
  </si>
  <si>
    <t>Group claim not properly apportioned to beneficiaries</t>
  </si>
  <si>
    <t>B12</t>
  </si>
  <si>
    <t>Service not billable under Title 9</t>
  </si>
  <si>
    <t>Aggregated Chart Findings Data</t>
  </si>
  <si>
    <t>A_P</t>
  </si>
  <si>
    <t>Assessments_P%</t>
  </si>
  <si>
    <t>A_F</t>
  </si>
  <si>
    <t>Assessments_F%</t>
  </si>
  <si>
    <t>PL_P</t>
  </si>
  <si>
    <t>ProblemList_P%</t>
  </si>
  <si>
    <t>PL_F</t>
  </si>
  <si>
    <t>ProblemList_F%</t>
  </si>
  <si>
    <t>PN_P</t>
  </si>
  <si>
    <t>ProgressNotes_P%</t>
  </si>
  <si>
    <t>PN_F</t>
  </si>
  <si>
    <t>ProgressNotes_F%</t>
  </si>
  <si>
    <t>OD_P</t>
  </si>
  <si>
    <t>OtherDocs_P%</t>
  </si>
  <si>
    <t>OD_F</t>
  </si>
  <si>
    <t>OtherDocs_F%</t>
  </si>
  <si>
    <t>SS_P</t>
  </si>
  <si>
    <t>SpecServices_P%</t>
  </si>
  <si>
    <t>SS_F</t>
  </si>
  <si>
    <t>SpecServices_F%</t>
  </si>
  <si>
    <t>B_P</t>
  </si>
  <si>
    <t>Billing_P%</t>
  </si>
  <si>
    <t>B_F</t>
  </si>
  <si>
    <t>Billing_F%</t>
  </si>
  <si>
    <t>Total</t>
  </si>
  <si>
    <t>Total_P</t>
  </si>
  <si>
    <t>Total_P%</t>
  </si>
  <si>
    <t>Total_F</t>
  </si>
  <si>
    <t>TotalF%</t>
  </si>
  <si>
    <t>Compliant</t>
  </si>
  <si>
    <t>Cost Disallowed</t>
  </si>
  <si>
    <t>Disallowances</t>
  </si>
  <si>
    <t>Claim Corrections</t>
  </si>
  <si>
    <t>Claims Reviewed</t>
  </si>
  <si>
    <t>A_Tot</t>
  </si>
  <si>
    <t>PL_Tot</t>
  </si>
  <si>
    <t>PN_Tot</t>
  </si>
  <si>
    <t>OD_Tot</t>
  </si>
  <si>
    <t>SS_Tot</t>
  </si>
  <si>
    <t>B_Tot</t>
  </si>
  <si>
    <t>Service Units</t>
  </si>
  <si>
    <t>$ Claimed</t>
  </si>
  <si>
    <t>Client #</t>
  </si>
  <si>
    <t>A_Total</t>
  </si>
  <si>
    <t>A1</t>
  </si>
  <si>
    <t>A2</t>
  </si>
  <si>
    <t>A2a</t>
  </si>
  <si>
    <t>A2b</t>
  </si>
  <si>
    <t>A2c</t>
  </si>
  <si>
    <t>A2d</t>
  </si>
  <si>
    <t>A2e</t>
  </si>
  <si>
    <t>A2f</t>
  </si>
  <si>
    <t>A2g</t>
  </si>
  <si>
    <t>A3</t>
  </si>
  <si>
    <t>PL_Total</t>
  </si>
  <si>
    <t>PL1</t>
  </si>
  <si>
    <t>PL2</t>
  </si>
  <si>
    <t>PL3</t>
  </si>
  <si>
    <t>PL4</t>
  </si>
  <si>
    <t>PN_Total</t>
  </si>
  <si>
    <t>PN1</t>
  </si>
  <si>
    <t>PN3</t>
  </si>
  <si>
    <t>PN4</t>
  </si>
  <si>
    <t>PN5</t>
  </si>
  <si>
    <t>PN6</t>
  </si>
  <si>
    <t>PN7</t>
  </si>
  <si>
    <t>PN8</t>
  </si>
  <si>
    <t>PN9</t>
  </si>
  <si>
    <t>PN10</t>
  </si>
  <si>
    <t>PN11</t>
  </si>
  <si>
    <t>PN12</t>
  </si>
  <si>
    <t>OD_Total</t>
  </si>
  <si>
    <t>OD1</t>
  </si>
  <si>
    <t>OD2</t>
  </si>
  <si>
    <t>OD3</t>
  </si>
  <si>
    <t>OD4</t>
  </si>
  <si>
    <t>OD5</t>
  </si>
  <si>
    <t>OD6</t>
  </si>
  <si>
    <t>SS_Total</t>
  </si>
  <si>
    <t>SS1</t>
  </si>
  <si>
    <t>SS2</t>
  </si>
  <si>
    <t>SS3</t>
  </si>
  <si>
    <t>SS4</t>
  </si>
  <si>
    <t>SS5</t>
  </si>
  <si>
    <t>B_Total</t>
  </si>
  <si>
    <t xml:space="preserve">B1
</t>
  </si>
  <si>
    <t xml:space="preserve">B2
</t>
  </si>
  <si>
    <t xml:space="preserve">B3
</t>
  </si>
  <si>
    <t xml:space="preserve">B4
</t>
  </si>
  <si>
    <t xml:space="preserve">B5
</t>
  </si>
  <si>
    <t xml:space="preserve">B6
</t>
  </si>
  <si>
    <t xml:space="preserve">B7
</t>
  </si>
  <si>
    <t xml:space="preserve">B8
</t>
  </si>
  <si>
    <t xml:space="preserve">B9
</t>
  </si>
  <si>
    <t xml:space="preserve">B10
</t>
  </si>
  <si>
    <t>No</t>
  </si>
  <si>
    <t>Agency Reviewed</t>
  </si>
  <si>
    <t>Program Reviewed</t>
  </si>
  <si>
    <t>Grant Zweifel, LMFT</t>
  </si>
  <si>
    <t>Date of Birth</t>
  </si>
  <si>
    <t>Billing Review Period</t>
  </si>
  <si>
    <t>to</t>
  </si>
  <si>
    <r>
      <t xml:space="preserve">**Items in </t>
    </r>
    <r>
      <rPr>
        <b/>
        <sz val="11"/>
        <color rgb="FF000000"/>
        <rFont val="Arial"/>
        <family val="2"/>
      </rPr>
      <t>Bold</t>
    </r>
    <r>
      <rPr>
        <sz val="11"/>
        <color rgb="FF000000"/>
        <rFont val="Arial"/>
        <family val="2"/>
      </rPr>
      <t xml:space="preserve"> are requirements identified by DHCS as reasons for recoupment if not compliant and/or in certain conditions.**</t>
    </r>
  </si>
  <si>
    <t>Services Addendum</t>
  </si>
  <si>
    <t>REQ #</t>
  </si>
  <si>
    <t>RESULT</t>
  </si>
  <si>
    <t>FINDING</t>
  </si>
  <si>
    <r>
      <t>Assessment Comments (if none, enter "N/A")</t>
    </r>
    <r>
      <rPr>
        <sz val="12"/>
        <color rgb="FF000000"/>
        <rFont val="Arial"/>
        <family val="2"/>
      </rPr>
      <t>:</t>
    </r>
  </si>
  <si>
    <t>Is there a problem list present in the chart that includes all required elements?</t>
  </si>
  <si>
    <t>Is the name and  title present of each provider that identified, added or removed items from the problem list as well as the date the items were identified, added or removed?</t>
  </si>
  <si>
    <t xml:space="preserve">Has the problem list been updated on an ongoing basis to reflect the current presentation of the beneficiary and within a reasonable time and in accordance with generally accepted standards of practice?  </t>
  </si>
  <si>
    <t>Does the problem list reflect the current client needs, including any identified diagnoses, social determinants of health and/or Z codes and has the problem list been updated any time there is a relevant change to the beneficiary's condition?</t>
  </si>
  <si>
    <r>
      <rPr>
        <b/>
        <sz val="12"/>
        <rFont val="Arial"/>
        <family val="2"/>
      </rPr>
      <t>Problem List Comments (if none, enter "N/A"):</t>
    </r>
    <r>
      <rPr>
        <sz val="12"/>
        <rFont val="Arial"/>
        <family val="2"/>
      </rPr>
      <t xml:space="preserve">
</t>
    </r>
  </si>
  <si>
    <t>For clients with identified risks, do progress notes document ongoing assessment, clinical monitoring, and intervention(s) that relate to the level of risk, when appropriate?</t>
  </si>
  <si>
    <t>For clients diagnosed with a co-occurring substance use disorder, do progress notes document specific integrated mental health treatment approaches, when appropriate?</t>
  </si>
  <si>
    <t>If necessary, were relevant substance use disorder (SUD) treatment referrals provided and documented in a progress note?</t>
  </si>
  <si>
    <t>For clients with physical health needs related to their mental health treatment, do progress notes document that physical health care is integrated into treatment through education, resources, referrals, symptom management and/or care coordination with physical healthcare providers?</t>
  </si>
  <si>
    <t>Are any gaps in service delivery supported by non-billable notes or explained elsewhere in the clinical record?</t>
  </si>
  <si>
    <r>
      <t>Progress Notes Comments (if none, enter "N/A"):</t>
    </r>
    <r>
      <rPr>
        <sz val="12"/>
        <rFont val="Arial"/>
        <family val="2"/>
      </rPr>
      <t xml:space="preserve">
</t>
    </r>
  </si>
  <si>
    <t>If telehealth or telephone services are provided, is there documented consent (written or verbal) specific to the provision of telehealth services prior to initial delivery of services?</t>
  </si>
  <si>
    <t>Do the MHP records include a copy of the client's Transition of Care Tool, if applicable?</t>
  </si>
  <si>
    <t xml:space="preserve">Other Documentation Comments (if none, enter "N/A"):
</t>
  </si>
  <si>
    <t>If client receives Peer Support Services (PSS) services from a Certified Peer Support Specialist, is there a completed care plan documented within the client record?</t>
  </si>
  <si>
    <t>Specialized Services Comments (if none, enter "N/A"):</t>
  </si>
  <si>
    <t>Is there any evidence of fraud, waste, or abuse? If yes, identify the claims in the Services Addendum.</t>
  </si>
  <si>
    <t>1
2
3
4
5
6
7
8
9
10
11
12
13</t>
  </si>
  <si>
    <t>1
2
3
4
5
6
7
8
9
10
11
12
13
14</t>
  </si>
  <si>
    <t>1
2
3
4
5
6
7
8
9</t>
  </si>
  <si>
    <t>1
2
3
4
5
6
7</t>
  </si>
  <si>
    <r>
      <t xml:space="preserve">For all progress notes, did the service that was claimed (procedure code) match the service documented in the progress note? If no, identify the claims in the Services Addendum.
</t>
    </r>
    <r>
      <rPr>
        <i/>
        <sz val="10"/>
        <color rgb="FF000000"/>
        <rFont val="Arial"/>
        <family val="2"/>
      </rPr>
      <t xml:space="preserve">
**Results in recoupment only when there is an overbilling** CCR title 9, sections 1840.316 - 1840.322, and 1810.440(c), MHP Contract; CCR, title 9, section 1840.112(b)(3); CCR, title 22, section 51458.1(a)(3).</t>
    </r>
  </si>
  <si>
    <t>Do all progress notes include required elements (date of service, service type, person contacted, location of service, contact type, evidence based practice (EBP), appointment type)?</t>
  </si>
  <si>
    <r>
      <t xml:space="preserve">Are all documented services within the scope of practice of the provider? If no, identify the claims in the Services Addendum.
</t>
    </r>
    <r>
      <rPr>
        <i/>
        <sz val="10"/>
        <color rgb="FF000000"/>
        <rFont val="Arial"/>
        <family val="2"/>
      </rPr>
      <t xml:space="preserve">
CCR, title 9, section 1840.314(d); BHIN 22-019</t>
    </r>
  </si>
  <si>
    <r>
      <rPr>
        <b/>
        <sz val="12"/>
        <rFont val="Arial"/>
        <family val="2"/>
      </rPr>
      <t>Billing Comments (if none, enter "N/A"):</t>
    </r>
    <r>
      <rPr>
        <sz val="12"/>
        <rFont val="Arial"/>
        <family val="2"/>
      </rPr>
      <t xml:space="preserve">
</t>
    </r>
  </si>
  <si>
    <t>Organization Name</t>
  </si>
  <si>
    <t>Insurance</t>
  </si>
  <si>
    <t>CRF</t>
  </si>
  <si>
    <t>HPO QA MH</t>
  </si>
  <si>
    <t>Chart Review Information Tab</t>
  </si>
  <si>
    <t>Entered 8 clients</t>
  </si>
  <si>
    <t>Chart Review Results Tab</t>
  </si>
  <si>
    <t>not calculating</t>
  </si>
  <si>
    <t>Disallowed services</t>
  </si>
  <si>
    <t>Corrected services</t>
  </si>
  <si>
    <t>client 3</t>
  </si>
  <si>
    <t>Services Change Summary Tab</t>
  </si>
  <si>
    <t>Shows disallowed and corrected services correctly</t>
  </si>
  <si>
    <t>COUNTIF(Data!K60:K659,"Yes")</t>
  </si>
  <si>
    <t>Existing formula</t>
  </si>
  <si>
    <t>Changed from 'K" to "N"</t>
  </si>
  <si>
    <t>Problem Corrected - values calculate</t>
  </si>
  <si>
    <t>calculating correctly after correction to # of Disallowed Services</t>
  </si>
  <si>
    <t>SUMIF(Data!K60:K659,"Yes",Data!H60:H359)</t>
  </si>
  <si>
    <t>COUNTIF(DATA[Compliant],"Yes")</t>
  </si>
  <si>
    <t>All other client tabs</t>
  </si>
  <si>
    <t>The top part of Client 1 tab is different from the other tabs.</t>
  </si>
  <si>
    <t>Suggest to make Client 1 tab match the others.</t>
  </si>
  <si>
    <t xml:space="preserve">Client 2 et all shows Insurance.  Insurance is currently not recorded on the Chart Review Info.  </t>
  </si>
  <si>
    <t>Suggest adding insurance to Chart Review Info and link insurance cells on client tabs to it.</t>
  </si>
  <si>
    <t>Client 1 tab says Agency Reviewed, all others say Organization Name.</t>
  </si>
  <si>
    <t>Suggest to change both to Legal Entity</t>
  </si>
  <si>
    <t>Client 1 tab saysProgram Reviewed, all others say Program Name.</t>
  </si>
  <si>
    <t>Suggest to make all the same - my preference Program Name</t>
  </si>
  <si>
    <t>Client 1 tab has Agcy Reviewing</t>
  </si>
  <si>
    <t>Suggest to remove that since all MRRs are reviewed by the same agency, and I don't think we need to specify MH or SUD</t>
  </si>
  <si>
    <t xml:space="preserve">calculating correctly after correction to Client 1 formula.  </t>
  </si>
  <si>
    <t>Expect to be calculating for all Clients once suggested correction above is made.</t>
  </si>
  <si>
    <t>suggest adding Insurance to "Records to be Reviewed" grid and to remove "Agency Reviewing".
Suggest changing "Agency" to Legal Entity</t>
  </si>
  <si>
    <t>Client Tabs</t>
  </si>
  <si>
    <t>Suggest changing Client 1 to match the others and then update all the formulas so they all calculate.</t>
  </si>
  <si>
    <t>Client 1 is not calculating.  Looked at Data - C35 (A_P) - formula is COUNTIF(INDIRECT("'"&amp;[@Client]&amp;"'!$r$9:$r$19"),"Pass").  Followed formula to to Client 1 tab.  Formula looks in the wrong cells (P vs. R).  Corrected formula.  Client 1 calculates correctly, all other clients don’t calculate at all.</t>
  </si>
  <si>
    <t>ES - 
1) I think we could update agency to be agency/legal entity since both are used interchangably
2) DOB will likely be removed; not sure that's needed; what about about client number? We'll need client number in SanWITS; curious if this is needed for cerner clients. 
3) agreeing with your rec on changing agency reviewing; not sure if this will be important to SUD but wanting to notate just in case</t>
  </si>
  <si>
    <t>Medi Cal</t>
  </si>
  <si>
    <t>Medicare</t>
  </si>
  <si>
    <t>Medi-Medi</t>
  </si>
  <si>
    <t>Other</t>
  </si>
  <si>
    <t>None</t>
  </si>
  <si>
    <t>Sandra Mills, LMFT</t>
  </si>
  <si>
    <t>Agency/Legal Entity:</t>
  </si>
  <si>
    <t>Agency/Legal Entity</t>
  </si>
  <si>
    <t>Corrective Action Type (For Program Use)</t>
  </si>
  <si>
    <t>Place an "X" in the column below to indicate the corrective action for each service(s) and the date action was completed. Final Action Date: The date in which the final corrective action step has been completed.  Program is required to submit a "final" Billing Summary Form to the QM Specialist when all services have had final adjudication.</t>
  </si>
  <si>
    <t>Void &amp; Replicate Service (not claimed)</t>
  </si>
  <si>
    <t>Claimed Service (998)</t>
  </si>
  <si>
    <t xml:space="preserve">Once Paid, Void or Replace is submitted to MHBU </t>
  </si>
  <si>
    <t>Re-entry- Void &amp; Replicate Service (service voided with MHBU)</t>
  </si>
  <si>
    <t>No re-entry for paid service voided with MHBU.  Info note only.</t>
  </si>
  <si>
    <t>No re-entry for service replaced with MHBU. Info note only.</t>
  </si>
  <si>
    <t>Paid service. No void or replace with MHBU. Info note only</t>
  </si>
  <si>
    <t>Initial Action Date</t>
  </si>
  <si>
    <t xml:space="preserve">Final Action Date </t>
  </si>
  <si>
    <t>Client Name</t>
  </si>
  <si>
    <t>Total Reviewed</t>
  </si>
  <si>
    <t>Final Approved &gt; 3 days</t>
  </si>
  <si>
    <t>% Final Approved &gt;3 days</t>
  </si>
  <si>
    <t>% Services final approved &gt; 3 days</t>
  </si>
  <si>
    <t>Changes Made</t>
  </si>
  <si>
    <t>Removed Agency Reviewing</t>
  </si>
  <si>
    <t>Added Insurance</t>
  </si>
  <si>
    <t>Created Validation sheet and drop down menu for insurance</t>
  </si>
  <si>
    <t>Changed Review Month to Review Date</t>
  </si>
  <si>
    <t>Added</t>
  </si>
  <si>
    <t>Requested by QA MH</t>
  </si>
  <si>
    <t>this calculates the percentages of PMs final approved in less than 3 days</t>
  </si>
  <si>
    <t>Data comes from the client tabs.</t>
  </si>
  <si>
    <t>Row under PN question 1 on all client tabs</t>
  </si>
  <si>
    <t>this is where they enter how many progress notes they reviewed and how many were approved &gt;3 days, then the percentage is calculated.</t>
  </si>
  <si>
    <t>Note:  adding it under PM question 1 on client tab 1 throws off calculations on the Data tab.  Moved this mini grid to above the PN section.</t>
  </si>
  <si>
    <t>Changed</t>
  </si>
  <si>
    <t>Changed all Client Tabs to this :</t>
  </si>
  <si>
    <t>Corrective Action Type (For Program Use ) to both Corrections and Disallowances  - see below</t>
  </si>
  <si>
    <t>Requested by QAMH</t>
  </si>
  <si>
    <t>Total Yes</t>
  </si>
  <si>
    <t>Overall Compliance %</t>
  </si>
  <si>
    <t>Total Yes + No</t>
  </si>
  <si>
    <t>Overall Compliance</t>
  </si>
  <si>
    <t>Overall Compliance % and Overall QIP Required</t>
  </si>
  <si>
    <t>added calculation of overall compliance to Data tab</t>
  </si>
  <si>
    <t>Total No</t>
  </si>
  <si>
    <t>Program Manager:</t>
  </si>
  <si>
    <t>COR:</t>
  </si>
  <si>
    <t>Subunits:</t>
  </si>
  <si>
    <t>Unit:</t>
  </si>
  <si>
    <t>PHARMACEUTICAL  REVIEW SUMMARY</t>
  </si>
  <si>
    <t xml:space="preserve">Review Date:  </t>
  </si>
  <si>
    <t>Legal Entity:</t>
  </si>
  <si>
    <t>State Provider Number:</t>
  </si>
  <si>
    <t xml:space="preserve">Provider Name: </t>
  </si>
  <si>
    <t>Reviewer:</t>
  </si>
  <si>
    <t>Overall Results:</t>
  </si>
  <si>
    <t>QIP Required?</t>
  </si>
  <si>
    <t>Are there policies and procedures in place for dispensing, administering, and storing medications for each of the following and do practices match policies and procedures:</t>
  </si>
  <si>
    <t>Are all medications obtained by prescription labeled in compliance with federal and state laws?</t>
  </si>
  <si>
    <t>Are medications intended for external-use-only stored separately?</t>
  </si>
  <si>
    <t>Are all medications stored at proper temperatures:
     • Room temperature medications at 59º F – 86º F?
     • Refrigerated medications at 36º F – 46º F?</t>
  </si>
  <si>
    <t>Are medications stored in a locked area with access limited to those medical personnel authorized to prescribe, dispense or administer medication?</t>
  </si>
  <si>
    <t xml:space="preserve"> Are medications disposed of after the expiration date?</t>
  </si>
  <si>
    <t>Is a medication log maintained to ensure the provider disposes of expired, contaminated, deteriorated and abandoned medications in a manner consistent with state and federal laws?</t>
  </si>
  <si>
    <t>Is there a dispensing log used to record the date, name of the beneficiary, name of drug, amount of drug, Lot number, route of administration, and identifying information regarding the bottle, vial, etc. from which the medication was obtained for all medications which are dispensed from house supply?</t>
  </si>
  <si>
    <r>
      <t>Total</t>
    </r>
    <r>
      <rPr>
        <sz val="11"/>
        <rFont val="Arial"/>
        <family val="2"/>
      </rPr>
      <t xml:space="preserve">     </t>
    </r>
  </si>
  <si>
    <t>Percent Results:</t>
  </si>
  <si>
    <r>
      <t xml:space="preserve">Pharmaceutical Practices Comments: </t>
    </r>
    <r>
      <rPr>
        <sz val="11"/>
        <rFont val="Arial"/>
        <family val="2"/>
      </rPr>
      <t xml:space="preserve">
                              </t>
    </r>
  </si>
  <si>
    <t>State Provider Number</t>
  </si>
  <si>
    <t>Review Date</t>
  </si>
  <si>
    <t>Provider Overall Compliance</t>
  </si>
  <si>
    <t>Program Integrity evidence has been reviewed and is in compliance? (P&amp;P review, evidence of paid service verification)</t>
  </si>
  <si>
    <t>There is evidence that demonstrates program is self monitoring billing and documentation? (include a review of program self disallowances and corrections to claiming.)</t>
  </si>
  <si>
    <t xml:space="preserve">There is evidence that demonstrates that the staff signature log is current and up to date for the review period.  </t>
  </si>
  <si>
    <t>actual</t>
  </si>
  <si>
    <r>
      <rPr>
        <b/>
        <sz val="12"/>
        <rFont val="Arial"/>
        <family val="2"/>
      </rPr>
      <t>Comments</t>
    </r>
    <r>
      <rPr>
        <sz val="12"/>
        <rFont val="Arial"/>
        <family val="2"/>
      </rPr>
      <t xml:space="preserve">:
</t>
    </r>
  </si>
  <si>
    <t>Date</t>
  </si>
  <si>
    <t>PM name</t>
  </si>
  <si>
    <t>Address</t>
  </si>
  <si>
    <t>Re: Medical Record Review</t>
  </si>
  <si>
    <t>Dear PM,</t>
  </si>
  <si>
    <r>
      <t xml:space="preserve">San Diego County Behavioral Health Services is responsible for the quality management and improvement functions of its Behavioral Health System of Care.  The Quality Management Unit is delegated the responsibility for implementing quality improvement activities according to all applicable Short Doyle/Medi-Cal and medical necessity requirements, as well as other relevant state and federal regulations.
BHS complete medical records include both paper and electronic documents and use both manual and electronic processes. A portion of the MRR is dedicated to reviewing your program’s paper-based medical records. If compliance issues are identified due to missing documents in the paper chart, the program shall have until the close of business (COB) on the day of the MRR exit interview to provide evidence to QM supporting compliance. Evidence will not be accepted if submitted after this timeline.
I will contact you on </t>
    </r>
    <r>
      <rPr>
        <b/>
        <sz val="11"/>
        <rFont val="Arial"/>
        <family val="2"/>
      </rPr>
      <t>XX/XX/XX</t>
    </r>
    <r>
      <rPr>
        <sz val="11"/>
        <rFont val="Arial"/>
        <family val="2"/>
      </rPr>
      <t xml:space="preserve"> with specific client names. You have </t>
    </r>
    <r>
      <rPr>
        <b/>
        <sz val="11"/>
        <rFont val="Arial"/>
        <family val="2"/>
      </rPr>
      <t>15 business</t>
    </r>
    <r>
      <rPr>
        <sz val="11"/>
        <rFont val="Arial"/>
        <family val="2"/>
      </rPr>
      <t xml:space="preserve"> days to complete the MRR. Day one will be the following business day after you received client names. The due date to submit your MRR Hybrid Chart Document &amp; Program self-review and attestation will be on </t>
    </r>
    <r>
      <rPr>
        <b/>
        <sz val="11"/>
        <rFont val="Arial"/>
        <family val="2"/>
      </rPr>
      <t>XX/XX/XX</t>
    </r>
    <r>
      <rPr>
        <sz val="11"/>
        <rFont val="Arial"/>
        <family val="2"/>
      </rPr>
      <t xml:space="preserve">.  I have scheduled the Medical Record Review exit conference on </t>
    </r>
    <r>
      <rPr>
        <b/>
        <sz val="11"/>
        <rFont val="Arial"/>
        <family val="2"/>
      </rPr>
      <t>XX/XX/XX</t>
    </r>
    <r>
      <rPr>
        <sz val="11"/>
        <rFont val="Arial"/>
        <family val="2"/>
      </rPr>
      <t xml:space="preserve">  </t>
    </r>
    <r>
      <rPr>
        <b/>
        <sz val="11"/>
        <rFont val="Arial"/>
        <family val="2"/>
      </rPr>
      <t>at 00:00 AM/PM</t>
    </r>
    <r>
      <rPr>
        <sz val="11"/>
        <rFont val="Arial"/>
        <family val="2"/>
      </rPr>
      <t>. On the day of the exit conference, if your program requires a pharmaceutical review, please ensure that your medical staff will be available to review your pharmaceutical and medication practices.  A copy of the review tool is enclosed.
Thank you for your cooperation and assistance.  It is much appreciated.
Sincerely,</t>
    </r>
  </si>
  <si>
    <t>QA Specialist</t>
  </si>
  <si>
    <t>UR/QA Specialist</t>
  </si>
  <si>
    <t>CC: , QA Supervisor</t>
  </si>
  <si>
    <t>CC:  , COR</t>
  </si>
  <si>
    <t>Program Manager</t>
  </si>
  <si>
    <t>Program name</t>
  </si>
  <si>
    <t>Dear PM:</t>
  </si>
  <si>
    <t>I appreciate the time you spent in preparation for my recent review.  Enclosed is the medical record review report for your program. 
Your program’s scores can be found on the Medical Record Review Summary page. 
A Quality Improvement Plan (QIP) is required for the following criteria:  (1) overall score is less than 90%; or (2) the disallowance rate is higher than 5%.
If no Quality Improvement Plan is required, then no response is necessary.  If a Quality Improvement Plan is required, this will be indicated on the Medical Record Review Summary page. Please submit your Quality Improvement Plan addressing each category within ten (10) business days from the date of this letter.  Send your response to:</t>
  </si>
  <si>
    <t>County of San Diego – BHS QI Unit
QA Specialist name
QA Specialist Email</t>
  </si>
  <si>
    <t>Should you have any questions or require technical assistance, please contact me at (619) XXX-XXXX. Thank you for your cooperation and assistance.</t>
  </si>
  <si>
    <t>Sincerely,</t>
  </si>
  <si>
    <t>QA Specialist name</t>
  </si>
  <si>
    <t>CC:  QA Supervisor</t>
  </si>
  <si>
    <t>CC:  COR</t>
  </si>
  <si>
    <t>MRR APPEAL INSTRUCTIONS</t>
  </si>
  <si>
    <t>APPEAL PROCESS</t>
  </si>
  <si>
    <t>Medi-Cal/ QI Billing Summary Report</t>
  </si>
  <si>
    <t>San Diego County Mental Health Services</t>
  </si>
  <si>
    <t>BHS  Quality Management has developed the following 2-level process for a provider appeal of a disallowed service(s) decision.  Please note that only disallowed services may be appealed.  Items out of compliance, but not disallowed should be discussed with the QM Specialist who conducted the review and elevated to the QM Supervisor if necessary.</t>
  </si>
  <si>
    <r>
      <t>1.</t>
    </r>
    <r>
      <rPr>
        <sz val="7"/>
        <rFont val="Arial"/>
        <family val="2"/>
      </rPr>
      <t xml:space="preserve">       </t>
    </r>
    <r>
      <rPr>
        <sz val="11"/>
        <rFont val="Arial"/>
        <family val="2"/>
      </rPr>
      <t xml:space="preserve"> QM Specialist will email the provider a formal written report outlining the results of their medical record review within </t>
    </r>
    <r>
      <rPr>
        <u/>
        <sz val="11"/>
        <rFont val="Arial"/>
        <family val="2"/>
      </rPr>
      <t>30 days of review completion</t>
    </r>
    <r>
      <rPr>
        <sz val="11"/>
        <rFont val="Arial"/>
        <family val="2"/>
      </rPr>
      <t>.</t>
    </r>
  </si>
  <si>
    <r>
      <t>2.</t>
    </r>
    <r>
      <rPr>
        <sz val="7"/>
        <rFont val="Arial"/>
        <family val="2"/>
      </rPr>
      <t xml:space="preserve">       </t>
    </r>
    <r>
      <rPr>
        <sz val="11"/>
        <rFont val="Arial"/>
        <family val="2"/>
      </rPr>
      <t xml:space="preserve">Provider has </t>
    </r>
    <r>
      <rPr>
        <b/>
        <u/>
        <sz val="11"/>
        <rFont val="Arial"/>
        <family val="2"/>
      </rPr>
      <t>10 business days</t>
    </r>
    <r>
      <rPr>
        <u/>
        <sz val="11"/>
        <rFont val="Arial"/>
        <family val="2"/>
      </rPr>
      <t xml:space="preserve"> from the</t>
    </r>
    <r>
      <rPr>
        <b/>
        <u/>
        <sz val="11"/>
        <rFont val="Arial"/>
        <family val="2"/>
      </rPr>
      <t xml:space="preserve"> </t>
    </r>
    <r>
      <rPr>
        <u/>
        <sz val="11"/>
        <rFont val="Arial"/>
        <family val="2"/>
      </rPr>
      <t>date of the cover letter</t>
    </r>
    <r>
      <rPr>
        <sz val="11"/>
        <rFont val="Arial"/>
        <family val="2"/>
      </rPr>
      <t xml:space="preserve"> attached to the written report to request a first level appeal.</t>
    </r>
  </si>
  <si>
    <r>
      <t>3.</t>
    </r>
    <r>
      <rPr>
        <sz val="7"/>
        <rFont val="Arial"/>
        <family val="2"/>
      </rPr>
      <t xml:space="preserve">       </t>
    </r>
    <r>
      <rPr>
        <sz val="11"/>
        <rFont val="Arial"/>
        <family val="2"/>
      </rPr>
      <t>First level appeal must be in writing, specify which disallowed service(s) is being appealed, reason why, and include any supporting documentation from the medical record.  Appeal should be marked “confidential” and emailed directly to the Quality Management Behavioral Health Program Coordinator (BHPC).  Appeals emailed to the QM Specialist will not be accepted.</t>
    </r>
  </si>
  <si>
    <r>
      <t>4.</t>
    </r>
    <r>
      <rPr>
        <sz val="7"/>
        <rFont val="Arial"/>
        <family val="2"/>
      </rPr>
      <t xml:space="preserve">       </t>
    </r>
    <r>
      <rPr>
        <sz val="11"/>
        <rFont val="Arial"/>
        <family val="2"/>
      </rPr>
      <t xml:space="preserve">First level appeal decision will be made within </t>
    </r>
    <r>
      <rPr>
        <u/>
        <sz val="11"/>
        <rFont val="Arial"/>
        <family val="2"/>
      </rPr>
      <t>7 business days from receipt of appeal letter</t>
    </r>
    <r>
      <rPr>
        <sz val="11"/>
        <rFont val="Arial"/>
        <family val="2"/>
      </rPr>
      <t>.  Provider will be informed of this decision in writing.</t>
    </r>
  </si>
  <si>
    <r>
      <t>5.</t>
    </r>
    <r>
      <rPr>
        <sz val="7"/>
        <rFont val="Arial"/>
        <family val="2"/>
      </rPr>
      <t xml:space="preserve">       </t>
    </r>
    <r>
      <rPr>
        <sz val="11"/>
        <rFont val="Arial"/>
        <family val="2"/>
      </rPr>
      <t xml:space="preserve">Should provider disagree with first level decision, provider </t>
    </r>
    <r>
      <rPr>
        <u/>
        <sz val="11"/>
        <rFont val="Arial"/>
        <family val="2"/>
      </rPr>
      <t>has 7 business days from receipt of written decision</t>
    </r>
    <r>
      <rPr>
        <sz val="11"/>
        <rFont val="Arial"/>
        <family val="2"/>
      </rPr>
      <t xml:space="preserve"> to request a second level appeal.  Second level appeal must be in writing, specify which disallowed service(s) is being appealed from first level decision, and reason why, and supporting documentation.  Appeal should be marked “confidential” and emailed directly to the Quality Improvement Unit Administrator.</t>
    </r>
  </si>
  <si>
    <r>
      <t>6.</t>
    </r>
    <r>
      <rPr>
        <sz val="7"/>
        <rFont val="Arial"/>
        <family val="2"/>
      </rPr>
      <t xml:space="preserve">       </t>
    </r>
    <r>
      <rPr>
        <sz val="11"/>
        <rFont val="Arial"/>
        <family val="2"/>
      </rPr>
      <t xml:space="preserve">Second level appeal decision will be made </t>
    </r>
    <r>
      <rPr>
        <u/>
        <sz val="11"/>
        <rFont val="Arial"/>
        <family val="2"/>
      </rPr>
      <t>within 7 business days from receipt of appeal letter.</t>
    </r>
    <r>
      <rPr>
        <sz val="11"/>
        <rFont val="Arial"/>
        <family val="2"/>
      </rPr>
      <t xml:space="preserve"> Provider will be informed of this decision in writing.</t>
    </r>
  </si>
  <si>
    <t>Email address for Quality Improvement HBPC:</t>
  </si>
  <si>
    <t>Heather.Rey@sdcounty.ca.gov</t>
  </si>
  <si>
    <t>Any questions regarding this procedure may be directed to QM Behavioral Health Program Coordinator at 619-849-0305 or email to Heather.Rey@sdcounty.ca.gov</t>
  </si>
  <si>
    <r>
      <rPr>
        <b/>
        <sz val="12"/>
        <rFont val="Arial"/>
        <family val="2"/>
      </rPr>
      <t>Overall Result:</t>
    </r>
    <r>
      <rPr>
        <sz val="12"/>
        <rFont val="Arial"/>
        <family val="2"/>
      </rPr>
      <t xml:space="preserve">  Percentage represents number of yes response(s) divided by the total number of yes and no response(s).  N/A responses are not included.
</t>
    </r>
    <r>
      <rPr>
        <b/>
        <sz val="12"/>
        <rFont val="Arial"/>
        <family val="2"/>
      </rPr>
      <t>Service Disallowance</t>
    </r>
    <r>
      <rPr>
        <sz val="12"/>
        <rFont val="Arial"/>
        <family val="2"/>
      </rPr>
      <t xml:space="preserve"> rate is the number of disallowed services divided by the total number of services reviewed.  The disallowance rate does not include non-billable services or services that can be edited/corrected/claimed.  Recouped services are based on the DHCS Reasons for Recoupment and can be viewed on the DHCS website.
</t>
    </r>
    <r>
      <rPr>
        <b/>
        <sz val="12"/>
        <rFont val="Arial"/>
        <family val="2"/>
      </rPr>
      <t>Disallowance Cost in Dollars:</t>
    </r>
    <r>
      <rPr>
        <sz val="12"/>
        <rFont val="Arial"/>
        <family val="2"/>
      </rPr>
      <t xml:space="preserve"> The dollar amount for all claimed services that were disallowed during the review period. 
</t>
    </r>
    <r>
      <rPr>
        <b/>
        <sz val="12"/>
        <rFont val="Arial"/>
        <family val="2"/>
      </rPr>
      <t>Disallowance Cost Percentage of Total Claimed Services:</t>
    </r>
    <r>
      <rPr>
        <sz val="12"/>
        <rFont val="Arial"/>
        <family val="2"/>
      </rPr>
      <t xml:space="preserve"> The percentage of dollars disallowed divided by the total dollars claimed for services during the review period.
</t>
    </r>
    <r>
      <rPr>
        <b/>
        <sz val="12"/>
        <rFont val="Arial"/>
        <family val="2"/>
      </rPr>
      <t xml:space="preserve"># Charts in Compliance: </t>
    </r>
    <r>
      <rPr>
        <sz val="12"/>
        <rFont val="Arial"/>
        <family val="2"/>
      </rPr>
      <t xml:space="preserve"> Counts all charts with an compliance rate of 90% or higher</t>
    </r>
  </si>
  <si>
    <t xml:space="preserve">Refer to the comments section at the bottom of each category for QM Reviewer feedback.
1.  A QIP is required if the Overall Result is below 90% or if disallowance rate exceeds 5%. The QIP shall include the Billing Summary Form. A QIP may also be requested at the discretion of the QM Specialist for any significant deficiencies/trends identified in the review.  
2.  If the Overall Result is below 80%, the QM Specialist conducting your review will follow up three months after QIP approval to collect evidence demonstrating that the QIP has assisted in improved compliance.
3.  Any services listed on the Billing Summary Form shall be corrected on the Billing Summary Form and submitted to QM within 14 calendar days of receipt of MRR. A copy of the Void/Replace Request form sent to Mental Health Billing Unit shall be submitted to QM along with the Billing Summary, if applicable.
4.  Quality Improvement Plans are due to the QM Unit within 14 calendar days of receipt of the final MRR report. </t>
  </si>
  <si>
    <t>Strengths and Commendable Efforts</t>
  </si>
  <si>
    <t xml:space="preserve">
1. 
2. 
3. 
4. 
5.</t>
  </si>
  <si>
    <t>Prior year MRR Results and Quality Improvement Plan Comments:</t>
  </si>
  <si>
    <t xml:space="preserve">Quality Improvement Plan (QIP) Requirements  </t>
  </si>
  <si>
    <t xml:space="preserve"> Chart #</t>
  </si>
  <si>
    <t>Billing QIP Required?</t>
  </si>
  <si>
    <t>Overall QIP Required?</t>
  </si>
  <si>
    <t>Added question S6 to the other client tabs and tied it in to the Data tab.</t>
  </si>
  <si>
    <r>
      <rPr>
        <b/>
        <sz val="10"/>
        <rFont val="Arial"/>
        <family val="2"/>
      </rPr>
      <t>Client 1</t>
    </r>
    <r>
      <rPr>
        <sz val="10"/>
        <rFont val="Arial"/>
        <family val="2"/>
      </rPr>
      <t xml:space="preserve"> tab had question S6, the other tabs did not.  </t>
    </r>
  </si>
  <si>
    <t>Medical staff is entering client medications and medical conditions into CCBH Medical Conditions tab or Doctor's Home Page (DHP).</t>
  </si>
  <si>
    <t>For CYF/TAY programs only. Any CANS outcome with a Need rating of "2 or 3" has supporting indicators referencing the BHA.</t>
  </si>
  <si>
    <t xml:space="preserve">Most recent UM/UR documentation requirements (UR/UM requests, Authorization forms) are completed within timelines as required, if applicable. </t>
  </si>
  <si>
    <t xml:space="preserve">For clients prescribed psychotropic medication by the program, there is an "Informed Consent for the Use of Psychotropic Medication" form signed by both client or family/legal guardian and psychiatrist, with all fields completed.. The use of the current form is required. (For CYF programs, evidence of the current JV-220 is maintained in the chart along with Informed Consent). </t>
  </si>
  <si>
    <t>OD2a</t>
  </si>
  <si>
    <t xml:space="preserve">Are outcome measures completed as required (if applicable)?  (For CYF/TAY: Child and Adolescent Needs and Strengths (CANS) and Pediatric Symptoms Checklist 35 (PSC-35), for AOA: RMQ, IMR, MORS, LOCUS) </t>
  </si>
  <si>
    <t>OD4a</t>
  </si>
  <si>
    <t xml:space="preserve">If client receives TCM, is there a completed care plan documented within the client record? </t>
  </si>
  <si>
    <t>If client has an open CWS case, Eligibility for PWB and Enhanced Services form is completed in CCBH and documentation of Subclass or Class status is indicated and the form is updated within required timelines.  (CYF programs only)</t>
  </si>
  <si>
    <t>SS4a</t>
  </si>
  <si>
    <t>If client has an open CWS case, the PWB identifier for Subclass or Class is indicated in Client Categories Maintenance. (CYF only)</t>
  </si>
  <si>
    <t>CLIENT PLANS</t>
  </si>
  <si>
    <t xml:space="preserve">CP1
</t>
  </si>
  <si>
    <t>The client's agreed upon plan covering the review period was completed or updated and final approved within 60 calendar days of assignment or at a minimum of annually (or at UM, whichever comes first - CYF only) from previous plan final approval date. (For services which require a formal client plan)</t>
  </si>
  <si>
    <t>The Client Plan covering the review period is documented with specific client strengths that are applied to support client goals and objectives.</t>
  </si>
  <si>
    <t>The Client Plan covering the review period includes objectives that are specific and are related to the client's behavioral health needs as indicated on the Problem List and include the intervention(s) to be utilized to assist the client in reaching goals of treatment</t>
  </si>
  <si>
    <r>
      <t xml:space="preserve">The Client Plan Interventions for services requiring a client plan are listed as indicated in the objectives narrative. </t>
    </r>
    <r>
      <rPr>
        <i/>
        <sz val="10"/>
        <color rgb="FF000000"/>
        <rFont val="Arial"/>
        <family val="2"/>
      </rPr>
      <t xml:space="preserve"> </t>
    </r>
  </si>
  <si>
    <t xml:space="preserve">CP2
</t>
  </si>
  <si>
    <t xml:space="preserve">CP3
</t>
  </si>
  <si>
    <t xml:space="preserve">CP4
</t>
  </si>
  <si>
    <t>CP_Total</t>
  </si>
  <si>
    <t>CP Total</t>
  </si>
  <si>
    <t>A - Pass</t>
  </si>
  <si>
    <t>A - Fail</t>
  </si>
  <si>
    <t>Assessments - Pass %</t>
  </si>
  <si>
    <t>Assessment - Fail %</t>
  </si>
  <si>
    <t>Problem List P</t>
  </si>
  <si>
    <t>Problem List F</t>
  </si>
  <si>
    <t>Problem List P%</t>
  </si>
  <si>
    <t>Problem List F %</t>
  </si>
  <si>
    <t>PN - Pass</t>
  </si>
  <si>
    <t>PN Pass %</t>
  </si>
  <si>
    <t>PN - Fail</t>
  </si>
  <si>
    <t>PN Fail %</t>
  </si>
  <si>
    <t>Assessments</t>
  </si>
  <si>
    <t>Problem List</t>
  </si>
  <si>
    <t>Progress Notes</t>
  </si>
  <si>
    <t>Other Documents</t>
  </si>
  <si>
    <t>OD - Pass</t>
  </si>
  <si>
    <t>OD Pass %</t>
  </si>
  <si>
    <t>OD - Fail</t>
  </si>
  <si>
    <t>OD Fail %</t>
  </si>
  <si>
    <t>Special Services</t>
  </si>
  <si>
    <t>SS - Pass</t>
  </si>
  <si>
    <t>SS Pass %</t>
  </si>
  <si>
    <t>SS - Fail</t>
  </si>
  <si>
    <t>SS Fail %</t>
  </si>
  <si>
    <t>Bill - Pass</t>
  </si>
  <si>
    <t>Bill Pass %</t>
  </si>
  <si>
    <t>Bill - Fail</t>
  </si>
  <si>
    <t>Bill Fail %</t>
  </si>
  <si>
    <t>Total P</t>
  </si>
  <si>
    <t>Total F</t>
  </si>
  <si>
    <t>Total P %</t>
  </si>
  <si>
    <t>Total F %</t>
  </si>
  <si>
    <t>Cost Disallowance</t>
  </si>
  <si>
    <t xml:space="preserve"> Client #</t>
  </si>
  <si>
    <t>disallowances</t>
  </si>
  <si>
    <t>Total $ Claimed for Services</t>
  </si>
  <si>
    <t>Disallowance Cost Percentage for Total Claimed Services</t>
  </si>
  <si>
    <t>Total Disallowed</t>
  </si>
  <si>
    <t>A total</t>
  </si>
  <si>
    <t>PL Total</t>
  </si>
  <si>
    <t>PN Total</t>
  </si>
  <si>
    <t>OD Total</t>
  </si>
  <si>
    <t>SS Total</t>
  </si>
  <si>
    <t>B Total</t>
  </si>
  <si>
    <t>Total Pass</t>
  </si>
  <si>
    <t>overall compliance</t>
  </si>
  <si>
    <t>Client Plan</t>
  </si>
  <si>
    <t>CP Pass</t>
  </si>
  <si>
    <t>CP Pass%</t>
  </si>
  <si>
    <t>CP Fail</t>
  </si>
  <si>
    <t>CP Fail %</t>
  </si>
  <si>
    <t>During the covered review period,  the current Behavioral Health Assessment (BHA) was completed and final approved within required timelines. This includes signature(s) of the service provider working within scope of practice and date of signature.
(F/A within 60 calendar days of program assignment (date of assignment counts as day one) or updated as clinically appropriate but no longer than 3 years from previous BHA by program).</t>
  </si>
  <si>
    <t xml:space="preserve">Domain 1: Presenting Problem(s), History of Presenting Problem(s) and Beneficiary-Identified Impairment(s):  In the BHA covering the review period, the documentation evidences and supports how client meets or continues to meet medical necessity and access criteria for SMHS. </t>
  </si>
  <si>
    <t>Domain 3: Behavioral Health History, Comorbidity:  In the BHA covering the review period, past and current substance use and its impact on client functioning is documented and diagnosed, if applicable.</t>
  </si>
  <si>
    <t xml:space="preserve">Domain 4: Medical History, Current Medications, Comorbidity with Behavioral Health: In the BHA covering the review period, documentation indicates relevant current or past physical health conditions and/or co-morbidity with mental health, as applicable. </t>
  </si>
  <si>
    <t>Domain 5: Social and Life Circumstances, Culture/Religion/Spirituality: In the BHA covering the review period, documentation evidences a cultural formulation which includes an understanding of how and/or if clients social and life circumstances (culture/religion/spirituality/socioeconomic status/etc) impacts their mental health.</t>
  </si>
  <si>
    <t>Domain 6: Strengths, Risk Behaviors and Safety Factors:  The PRA includes safety plan details which address risk factors identified throughout the BHA and within the PRA (*) questions.</t>
  </si>
  <si>
    <t xml:space="preserve">Domain 7: Clinical Summary and Recommendations, Diagnostic Impression, Medical Necessity Determination/Level of Care/Access Criteria: The BHA covering the review period has a clinical formulation which describes client's behavioral health needs (symptoms, condition, diagnostic impressions, and/or risk factors) meeting medical necessity and/or access criteria, and service recommendations including proposed plan of care to address the client's behavioral health needs  </t>
  </si>
  <si>
    <t xml:space="preserve">Are all applicable diagnoses (ICD-10 and/or MH Z-codes), including any substance use disorders, present and consistent with the information noted in the assessment? *Diagnostic impression and included diagnoses must be completed within scope of practice by licensed/waivered/registered clinician.  </t>
  </si>
  <si>
    <t xml:space="preserve">Do all progress notes include a sufficient description of  interventions provided to address the beneficiary's behavioral health needs?  </t>
  </si>
  <si>
    <t xml:space="preserve">Do all progress notes include a sufficient description of client response to interventions provided to address the beneficiary's behavioral health needs? </t>
  </si>
  <si>
    <t>Do progress notes include next steps to be taken by the beneficiary and/or provider to address beneficiary's behavioral health needs?</t>
  </si>
  <si>
    <t>During the covered review period, does the chart as a whole include evidence of care coordination across providers, agencies, county systems (e.g. child welfare and Behavioral Health (BH)), significant support person(s) and/or between delivery systems (Managed Care Plan (MCP) and Mental Health Plan (MHP))?</t>
  </si>
  <si>
    <r>
      <t xml:space="preserve">Based on the documentation as a whole, is there evidence that treatment is  person centered, culturally responsive and aligned with client needs? </t>
    </r>
    <r>
      <rPr>
        <b/>
        <sz val="12"/>
        <rFont val="Arial"/>
        <family val="2"/>
      </rPr>
      <t>Survey only for educational comments</t>
    </r>
    <r>
      <rPr>
        <sz val="12"/>
        <rFont val="Arial"/>
        <family val="2"/>
      </rPr>
      <t>.</t>
    </r>
  </si>
  <si>
    <t>For clients whose primary language is something other than English, is there evidence of informing materials and/or services is  provided to client in primary language or documented evidence that informing materials were explained to client in primary language with acknowledgement of understanding?</t>
  </si>
  <si>
    <t>SS3a</t>
  </si>
  <si>
    <t>Do all units of time for services match the amount of time documented in the progress note? If no, identify the claims in the Services Addendum.
**Recoupment is limited to mismatches that result in overbilling.**  CCR title 9, sections 1840.316 - 1840.322, and 1810.440(c); MHP Contract; CCR, title 9, section 1840.112(b)(3); CCR, title 22, section 51458.1(a)(3).</t>
  </si>
  <si>
    <r>
      <t xml:space="preserve">Were progress notes finalized within 3 business days (with the exception of progress notes for crisis services, which shall be completed within 24 hours)?
</t>
    </r>
    <r>
      <rPr>
        <sz val="12"/>
        <color rgb="FFFF0000"/>
        <rFont val="Arial"/>
        <family val="2"/>
      </rPr>
      <t>*this will be marked out of compliance if &gt;5% of PN during review period are F/A &gt;3 days (per chart)</t>
    </r>
  </si>
  <si>
    <r>
      <t>Client Plans Comments (if none, enter "N/A"):</t>
    </r>
    <r>
      <rPr>
        <sz val="12"/>
        <rFont val="Arial"/>
        <family val="2"/>
      </rPr>
      <t xml:space="preserve">
</t>
    </r>
  </si>
  <si>
    <t>If client has an open Child Welfare Services (CWS) case, has eligibility and authorization for ICC and/or IHBS been estrablished? (CYF only)</t>
  </si>
  <si>
    <t>If receiving ICC and/or IHBS services does the client record contain documentation that a Child and Family Team (CFT) meeting has occurred within 30 days of intake and at a minimum every 90 days thereafter?
   **If CFT meeting timelines are not met, does chart include documentation of reasons for postponement and efforts to reschedule CFT meetings? (CYF only)</t>
  </si>
  <si>
    <r>
      <t xml:space="preserve">Were all services billable according to Title 9; with no services claimed that were solely academic, vocational, recreation, socialization, transportation, clerical or payee related, no claiming time for no-shows or nonbillable activities? If no, identify the claims in the Services Addendum.
</t>
    </r>
    <r>
      <rPr>
        <i/>
        <sz val="10"/>
        <color rgb="FF000000"/>
        <rFont val="Arial"/>
        <family val="2"/>
      </rPr>
      <t xml:space="preserve">CCR, title 9, sections 1810.247, 1810.345(a), 1810.355(a)(2), 1830.205(b)(3), 1840.312(a-f) CCR, title 22, section 51458.1(a)(7). </t>
    </r>
  </si>
  <si>
    <r>
      <t xml:space="preserve">Services provided involving more than one server, documentation evidences the clinically compelling or  medically necessary reason for more than one server and the unique clinical therapeutic intervention of each server. (Applies to group and individual services).
</t>
    </r>
    <r>
      <rPr>
        <i/>
        <sz val="10"/>
        <color rgb="FF000000"/>
        <rFont val="Arial"/>
        <family val="2"/>
      </rPr>
      <t xml:space="preserve">CCR, title 9, section 1840.316(b)(2); Medi-Cal Billing Manual, Chapter 7, section 7.5.5; CCR, title 22, section 51458.1(a)(3). </t>
    </r>
  </si>
  <si>
    <r>
      <t xml:space="preserve">Does the date of service listed on the (paper) progress notes match the date of service listed on all claims? If no, identify the claims in the Services Addendum.
**Recoupment is limited to examples where the program is unable to provide other documented evidence that the progress note with the “mismatched” date actually corresponds to the claim in question, and/or was due to a clerical error.** 
</t>
    </r>
    <r>
      <rPr>
        <i/>
        <sz val="10"/>
        <color rgb="FF000000"/>
        <rFont val="Arial"/>
        <family val="2"/>
      </rPr>
      <t xml:space="preserve">CCR title 9, sections 1840.316 - 1840.322, and 1810.440(c), MHP Contract; CCR, title 9, section 1840.112(b)(3); CCR, title 22, section 51458.1(a)(3). </t>
    </r>
  </si>
  <si>
    <r>
      <t xml:space="preserve">Is there documentation of a valid allowable service for every claim billed within the review period? (ie: no-show/cancelled appointment, no progress note, missing daily note if required). If no, identify the claims in the Services Addendum.
</t>
    </r>
    <r>
      <rPr>
        <i/>
        <sz val="10"/>
        <color rgb="FF000000"/>
        <rFont val="Arial"/>
        <family val="2"/>
      </rPr>
      <t xml:space="preserve">CCR, title 9, section 1840.112(b)(3); BHIN 22-019; MHP Contract, Exhibit E, Attachment 1); CCR, title 22, section 51458.1(a)(3)(7). </t>
    </r>
  </si>
  <si>
    <r>
      <t>Were any services provided claimed inaccurately while the client was in a Medi-Cal lock-out place of service (e.g., psych hospitalization, Institution for Mental Disease (IMD) juvenile hall*, jail)? If yes, identify the services in the Services Addendum. 
Note: For dependent minors in juvenile detention, Medi-Cal services can be provided prior to disposition, if there is a plan to make the minor’s stay temporary</t>
    </r>
    <r>
      <rPr>
        <i/>
        <sz val="10"/>
        <color rgb="FF000000"/>
        <rFont val="Arial"/>
        <family val="2"/>
      </rPr>
      <t xml:space="preserve"> (CCR, title 22, section 50273(c)(5)) and after adjudication for release into community (CCR, title 22, section 50273(c)(1)). 
CCR, title 9, chapter 11, section 1840.312(g-h); CCR, title 9, chapter 11, sections 1840.3601840.374; Code of Federal Regulations (CFR), title 42, part 435, sections 435.1008 435.1009; CFR, title 42, section 440.168; CCR, title 22, section 50273(a)(1-9); CCR, title 22, section 51458.1(a)(8); United States Code (USC), title 42, chapter 7, section 1396d, Code of Federal Regulations, title 42, sections 435.1009 – 435.1010; CCR, title 22, section 50273(a)(5-8), (c)(1, 5); title 22, section 51458.1(a)(8).</t>
    </r>
  </si>
  <si>
    <t>Provided is the list of randomly selected client charts for this MRR, as a program you are responsible to submit only the indicated documents/hybrid chart documents for all charts as noted on your Hybrid Chart Review Summary &amp; Program Attestation form.  
All charts selected have claimed services falling from X/XX/XX to XX/XX/XX - which will be the MRR Review period - involving all of your program staff. 
The Cerner EHR, along with the Hybrid paper chart, for each of these clients will be reviewed in its entirety and specific to the MRR tool.
**Remember that no changes or edits to the above listed charts are to be made to bring these charts into compliance when reviewing for this Med. Record Review.**
After completion of this MRR you will receive a copy of the completed review tools for each client, along with additional summary information. 
COSD QA Specialist
619-xxx-xxx</t>
  </si>
  <si>
    <t>Total Fail</t>
  </si>
  <si>
    <t>Total Pass + Fail</t>
  </si>
  <si>
    <t>Compliant Charts %</t>
  </si>
  <si>
    <t>Sum of  Client #</t>
  </si>
  <si>
    <t>Y</t>
  </si>
  <si>
    <t>N</t>
  </si>
  <si>
    <t>Y+N</t>
  </si>
  <si>
    <t>% Compliance</t>
  </si>
  <si>
    <t>Provider Compliance %</t>
  </si>
  <si>
    <t xml:space="preserve">Provider Name </t>
  </si>
  <si>
    <t>Legal Entity Name</t>
  </si>
  <si>
    <t>COR</t>
  </si>
  <si>
    <t>Unit #</t>
  </si>
  <si>
    <t>State Provider #</t>
  </si>
  <si>
    <t>QM Reviewer(s)</t>
  </si>
  <si>
    <t>SubUnit(s) #</t>
  </si>
  <si>
    <t>Contract #</t>
  </si>
  <si>
    <t>Total PN  errors</t>
  </si>
  <si>
    <t>Total Disallowed Amount</t>
  </si>
  <si>
    <t>Total Billed:</t>
  </si>
  <si>
    <t>Percent disallowed:</t>
  </si>
  <si>
    <t>Total Services Reviewed</t>
  </si>
  <si>
    <t>Total Disallowed Services</t>
  </si>
  <si>
    <t>Disallowance Rate</t>
  </si>
  <si>
    <t>Total Services In Compliance</t>
  </si>
  <si>
    <t>Compliance Percentage</t>
  </si>
  <si>
    <t>Case 
Number</t>
  </si>
  <si>
    <t>Server 
ID</t>
  </si>
  <si>
    <t>Service 
Code</t>
  </si>
  <si>
    <t>Service 
Date</t>
  </si>
  <si>
    <t>Duration</t>
  </si>
  <si>
    <t>$ Amount</t>
  </si>
  <si>
    <t>Does PN have errors? (yes/no)</t>
  </si>
  <si>
    <t>Disallow Service? (yes/no)</t>
  </si>
  <si>
    <t>Disallowed Amount</t>
  </si>
  <si>
    <t>In Compliance? (yes/no)</t>
  </si>
  <si>
    <t>Charts</t>
  </si>
  <si>
    <t>Additioinal Services</t>
  </si>
  <si>
    <t>Provider Compliance</t>
  </si>
  <si>
    <t>Contract #:</t>
  </si>
  <si>
    <t>Mental Hlth Assessment</t>
  </si>
  <si>
    <t>Psych Eval with Med Svcs</t>
  </si>
  <si>
    <t>Psych Testing Eval</t>
  </si>
  <si>
    <t>Developmental Testing</t>
  </si>
  <si>
    <t>Neurobehavioral Status Exam</t>
  </si>
  <si>
    <t>Neuropsychological Testing Evaluation</t>
  </si>
  <si>
    <t>Neuro/Psych Test Admin</t>
  </si>
  <si>
    <t>Psych Test-Tech</t>
  </si>
  <si>
    <t>Eval of Record for Assessment</t>
  </si>
  <si>
    <t>Injection SQ/IM</t>
  </si>
  <si>
    <t>New Patient Med Service</t>
  </si>
  <si>
    <t>Established Patient Med Svc</t>
  </si>
  <si>
    <t>Oral Med Admin, 15min</t>
  </si>
  <si>
    <t>Meds Training and Support</t>
  </si>
  <si>
    <t>Psychotherapy</t>
  </si>
  <si>
    <t>Family Psychotherapy W/Client</t>
  </si>
  <si>
    <t>Group Psychotherapy</t>
  </si>
  <si>
    <t>Mult Fam Group Psychotherapy</t>
  </si>
  <si>
    <t>Hypnotherapy</t>
  </si>
  <si>
    <t>Rehabilitation Svc</t>
  </si>
  <si>
    <t>Rehabilitation Grp</t>
  </si>
  <si>
    <t>Case Management</t>
  </si>
  <si>
    <t>Comm Based Wrap Svcs</t>
  </si>
  <si>
    <t>BH Prev Edu Svc Group Peer</t>
  </si>
  <si>
    <t>Self-Help/Peer Svcs Individual</t>
  </si>
  <si>
    <t>Interdiscp Team W/O MD</t>
  </si>
  <si>
    <t>Interdiscp Team by MD W/O Pt</t>
  </si>
  <si>
    <t>Plan Development</t>
  </si>
  <si>
    <t>Theraptic Beh Svcs-Assessment</t>
  </si>
  <si>
    <t>Theraptic Beh Svcs-Col</t>
  </si>
  <si>
    <t>Theraptic Beh Svcs-Direct</t>
  </si>
  <si>
    <t>Theraptic Beh Svcs-Pln Dev</t>
  </si>
  <si>
    <t>Intensive Care Coord ICC</t>
  </si>
  <si>
    <t>Therap Foster Care-TFC</t>
  </si>
  <si>
    <t>Interactive Complexity</t>
  </si>
  <si>
    <t>Sign Lang or Oral Interpret</t>
  </si>
  <si>
    <t>Crisis Interven Svc</t>
  </si>
  <si>
    <t>Mobile Crisis Svcs</t>
  </si>
  <si>
    <t>Mobile Crisis Mileage</t>
  </si>
  <si>
    <t>Mobile Crisis Transpt Time</t>
  </si>
  <si>
    <t>Crisis Stabilization ED</t>
  </si>
  <si>
    <t>Crisis Stabl-Urgent Care</t>
  </si>
  <si>
    <t>Crisis Residential</t>
  </si>
  <si>
    <t>Day Treatment</t>
  </si>
  <si>
    <t>Non-Bill Other Support Svc</t>
  </si>
  <si>
    <t>Non-Bill Services</t>
  </si>
  <si>
    <t>Case Mgmt Institution Inv</t>
  </si>
  <si>
    <t>Community Svcs</t>
  </si>
  <si>
    <t>JFS JFAST Evaluation</t>
  </si>
  <si>
    <t>JFS JFAST Comp Screening</t>
  </si>
  <si>
    <t>Service Minutes</t>
  </si>
  <si>
    <r>
      <t xml:space="preserve">Are paper progress notes signed (or the electronic equivalent) by the person providing the service? If no, identify the claims in the Services Addendum.
</t>
    </r>
    <r>
      <rPr>
        <sz val="10"/>
        <color rgb="FF000000"/>
        <rFont val="Arial"/>
        <family val="2"/>
      </rPr>
      <t xml:space="preserve">
</t>
    </r>
    <r>
      <rPr>
        <i/>
        <sz val="10"/>
        <color rgb="FF000000"/>
        <rFont val="Arial"/>
        <family val="2"/>
      </rPr>
      <t>MHP Contract; BHIN 22-019</t>
    </r>
  </si>
  <si>
    <t>Disallowed Requirement # Table:</t>
  </si>
  <si>
    <t>B1 – Billing: Evidence of fraud, waste, abuse</t>
  </si>
  <si>
    <t>B2 – Billing: Claim submitted for services during lock-out</t>
  </si>
  <si>
    <t>B3 – Billing: Missing documentation of allowable service</t>
  </si>
  <si>
    <t>B10 – Billing: Service not billable under Title 9</t>
  </si>
  <si>
    <t>Reason for Correction Table:</t>
  </si>
  <si>
    <t>Incorrect unit/subunit</t>
  </si>
  <si>
    <t>Services not within scope</t>
  </si>
  <si>
    <t>Reason Code Disallowed</t>
  </si>
  <si>
    <t>Reason Code Corrected</t>
  </si>
  <si>
    <t>Domain 2: Trauma:   In the BHA covering the review period, documentation evidences assessment for or documentation of history or exposure to trauma.</t>
  </si>
  <si>
    <t>A2h</t>
  </si>
  <si>
    <t xml:space="preserve">During covered review period the current Demographic form was completed and final approved within required timelines.  This includes a typed or legibly printed name, signature of the service provider and date of signature.(F/A within 30 calendar days of program assignment or at a minimum of annually from previous Demographic Form final approval date).  </t>
  </si>
  <si>
    <t>Domain 1: MSE: In the BHA covering the review period, the Mental Status Exam has been completed in full, within scope of practice, by licensed/waivered/registered clinician.</t>
  </si>
  <si>
    <t>No Service Type</t>
  </si>
  <si>
    <t>Client Plan (CP)</t>
  </si>
  <si>
    <t>Total Compliance and Non Compliance</t>
  </si>
  <si>
    <t>Total in Compliance</t>
  </si>
  <si>
    <t>Total Non Compliance</t>
  </si>
  <si>
    <t>Total # Clients at Clinic</t>
  </si>
  <si>
    <t>Problem Lists</t>
  </si>
  <si>
    <t>Client Plans</t>
  </si>
  <si>
    <t># Charts in Compliance</t>
  </si>
  <si>
    <t>Services Reviewd</t>
  </si>
  <si>
    <t>Additional Training</t>
  </si>
  <si>
    <t>Focus Review</t>
  </si>
  <si>
    <t>Billing Suspended</t>
  </si>
  <si>
    <t>Specialized Services</t>
  </si>
  <si>
    <t>FY</t>
  </si>
  <si>
    <t>Provider Name</t>
  </si>
  <si>
    <t>Reviewer 1</t>
  </si>
  <si>
    <t>Letter Sent</t>
  </si>
  <si>
    <t>Req Billing Summary</t>
  </si>
  <si>
    <t>Rec Billing Summary</t>
  </si>
  <si>
    <t>Review Scheduled</t>
  </si>
  <si>
    <t># Clients at Program</t>
  </si>
  <si>
    <t>Records Reviewed</t>
  </si>
  <si>
    <t>Svc Disallowed</t>
  </si>
  <si>
    <t>Svc Reviewed</t>
  </si>
  <si>
    <t>Total $ Claimed</t>
  </si>
  <si>
    <t>23-24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</si>
</sst>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mm/dd/yy"/>
    <numFmt numFmtId="165" formatCode="0;\-0;;@"/>
    <numFmt numFmtId="166" formatCode="_([$$-409]* #,##0.00_);_([$$-409]* \(#,##0.00\);_([$$-409]* &quot;-&quot;??_);_(@_)"/>
    <numFmt numFmtId="167" formatCode="_(* #,##0_);_(* \(#,##0\);_(* &quot;-&quot;??_);_(@_)"/>
    <numFmt numFmtId="168" formatCode="&quot;$&quot;#,##0.00"/>
    <numFmt numFmtId="169" formatCode="m/d/yy;@"/>
    <numFmt numFmtId="170" formatCode="mm/dd/yy;@"/>
    <numFmt numFmtId="171" formatCode="[$-409]mmmm\ d\,\ yyyy;@"/>
  </numFmts>
  <fonts count="43" x14ac:knownFonts="1">
    <font>
      <sz val="10"/>
      <name val="Arial"/>
    </font>
    <font>
      <sz val="11"/>
      <color theme="1"/>
      <name val="Arial"/>
      <family val="2"/>
    </font>
    <font>
      <sz val="11"/>
      <color theme="1"/>
      <name val="Calibri"/>
      <family val="2"/>
      <scheme val="minor"/>
    </font>
    <font>
      <sz val="10"/>
      <name val="Arial"/>
      <family val="2"/>
    </font>
    <font>
      <sz val="12"/>
      <name val="Arial"/>
      <family val="2"/>
    </font>
    <font>
      <b/>
      <sz val="12"/>
      <name val="Arial"/>
      <family val="2"/>
    </font>
    <font>
      <sz val="14"/>
      <name val="Arial"/>
      <family val="2"/>
    </font>
    <font>
      <b/>
      <sz val="10"/>
      <name val="Arial"/>
      <family val="2"/>
    </font>
    <font>
      <sz val="11"/>
      <name val="Arial"/>
      <family val="2"/>
    </font>
    <font>
      <b/>
      <sz val="12"/>
      <color rgb="FF000000"/>
      <name val="Arial"/>
      <family val="2"/>
    </font>
    <font>
      <b/>
      <sz val="11"/>
      <color rgb="FF000000"/>
      <name val="Arial"/>
      <family val="2"/>
    </font>
    <font>
      <sz val="11"/>
      <color rgb="FF000000"/>
      <name val="Arial"/>
      <family val="2"/>
    </font>
    <font>
      <sz val="12"/>
      <color rgb="FF000000"/>
      <name val="Arial"/>
      <family val="2"/>
    </font>
    <font>
      <i/>
      <sz val="10"/>
      <color rgb="FF000000"/>
      <name val="Arial"/>
      <family val="2"/>
    </font>
    <font>
      <sz val="11"/>
      <color rgb="FF404040"/>
      <name val="Arial"/>
      <family val="2"/>
    </font>
    <font>
      <b/>
      <sz val="18"/>
      <color rgb="FF000000"/>
      <name val="Arial"/>
      <family val="2"/>
    </font>
    <font>
      <sz val="10"/>
      <color rgb="FFFF0000"/>
      <name val="Arial"/>
      <family val="2"/>
    </font>
    <font>
      <sz val="10"/>
      <name val="Arial"/>
      <family val="2"/>
    </font>
    <font>
      <sz val="8"/>
      <name val="Arial"/>
      <family val="2"/>
    </font>
    <font>
      <b/>
      <sz val="11"/>
      <color rgb="FF404040"/>
      <name val="Arial"/>
      <family val="2"/>
    </font>
    <font>
      <b/>
      <sz val="18"/>
      <name val="Arial"/>
      <family val="2"/>
    </font>
    <font>
      <b/>
      <sz val="11"/>
      <color theme="7" tint="-0.249977111117893"/>
      <name val="Arial"/>
      <family val="2"/>
    </font>
    <font>
      <sz val="10"/>
      <color rgb="FF000000"/>
      <name val="Arial"/>
      <family val="2"/>
    </font>
    <font>
      <b/>
      <sz val="10"/>
      <color theme="1"/>
      <name val="Arial"/>
      <family val="2"/>
    </font>
    <font>
      <sz val="12"/>
      <color theme="0"/>
      <name val="Arial"/>
      <family val="2"/>
    </font>
    <font>
      <i/>
      <sz val="12"/>
      <name val="Arial"/>
      <family val="2"/>
    </font>
    <font>
      <sz val="10"/>
      <color rgb="FF7030A0"/>
      <name val="Arial"/>
      <family val="2"/>
    </font>
    <font>
      <b/>
      <sz val="11"/>
      <name val="Arial"/>
      <family val="2"/>
    </font>
    <font>
      <b/>
      <sz val="8"/>
      <name val="Arial"/>
      <family val="2"/>
    </font>
    <font>
      <sz val="9"/>
      <name val="Arial"/>
      <family val="2"/>
    </font>
    <font>
      <sz val="10"/>
      <color theme="0"/>
      <name val="Arial"/>
      <family val="2"/>
    </font>
    <font>
      <b/>
      <sz val="14"/>
      <name val="Arial"/>
      <family val="2"/>
    </font>
    <font>
      <b/>
      <sz val="11"/>
      <name val="Calibri"/>
      <family val="2"/>
    </font>
    <font>
      <sz val="7"/>
      <name val="Arial"/>
      <family val="2"/>
    </font>
    <font>
      <u/>
      <sz val="11"/>
      <name val="Arial"/>
      <family val="2"/>
    </font>
    <font>
      <b/>
      <u/>
      <sz val="11"/>
      <name val="Arial"/>
      <family val="2"/>
    </font>
    <font>
      <sz val="12"/>
      <color rgb="FFFF0000"/>
      <name val="Arial"/>
      <family val="2"/>
    </font>
    <font>
      <b/>
      <sz val="9"/>
      <color indexed="81"/>
      <name val="Tahoma"/>
      <family val="2"/>
    </font>
    <font>
      <sz val="9"/>
      <color indexed="81"/>
      <name val="Tahoma"/>
      <family val="2"/>
    </font>
    <font>
      <sz val="11"/>
      <name val="Calibri"/>
      <family val="2"/>
    </font>
    <font>
      <sz val="10"/>
      <color indexed="8"/>
      <name val="Arial"/>
      <family val="2"/>
    </font>
    <font>
      <b/>
      <sz val="10"/>
      <color indexed="8"/>
      <name val="Arial"/>
      <family val="2"/>
    </font>
    <font>
      <sz val="11"/>
      <color indexed="8"/>
      <name val="Calibri"/>
      <family val="2"/>
    </font>
  </fonts>
  <fills count="26">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D6DCE4"/>
        <bgColor indexed="64"/>
      </patternFill>
    </fill>
    <fill>
      <patternFill patternType="solid">
        <fgColor rgb="FFF2F2F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6" tint="0.79998168889431442"/>
        <bgColor indexed="64"/>
      </patternFill>
    </fill>
    <fill>
      <patternFill patternType="solid">
        <fgColor theme="0" tint="-0.14999847407452621"/>
        <bgColor theme="0" tint="-0.14999847407452621"/>
      </patternFill>
    </fill>
    <fill>
      <patternFill patternType="solid">
        <fgColor rgb="FFFFFF00"/>
        <bgColor indexed="64"/>
      </patternFill>
    </fill>
    <fill>
      <patternFill patternType="solid">
        <fgColor rgb="FF92D050"/>
        <bgColor indexed="64"/>
      </patternFill>
    </fill>
    <fill>
      <patternFill patternType="solid">
        <fgColor theme="3" tint="0.59999389629810485"/>
        <bgColor indexed="64"/>
      </patternFill>
    </fill>
    <fill>
      <patternFill patternType="solid">
        <fgColor rgb="FFFFC000"/>
        <bgColor indexed="64"/>
      </patternFill>
    </fill>
    <fill>
      <patternFill patternType="solid">
        <fgColor theme="5" tint="0.59999389629810485"/>
        <bgColor indexed="64"/>
      </patternFill>
    </fill>
    <fill>
      <patternFill patternType="solid">
        <fgColor rgb="FFFFE0E0"/>
        <bgColor indexed="64"/>
      </patternFill>
    </fill>
    <fill>
      <patternFill patternType="solid">
        <fgColor theme="9" tint="0.59999389629810485"/>
        <bgColor indexed="64"/>
      </patternFill>
    </fill>
    <fill>
      <patternFill patternType="solid">
        <fgColor indexed="9"/>
        <bgColor indexed="64"/>
      </patternFill>
    </fill>
    <fill>
      <patternFill patternType="solid">
        <fgColor theme="2" tint="-9.9978637043366805E-2"/>
        <bgColor indexed="64"/>
      </patternFill>
    </fill>
    <fill>
      <patternFill patternType="solid">
        <fgColor rgb="FF92D050"/>
        <bgColor indexed="0"/>
      </patternFill>
    </fill>
    <fill>
      <patternFill patternType="solid">
        <fgColor rgb="FFE3F12F"/>
        <bgColor indexed="0"/>
      </patternFill>
    </fill>
    <fill>
      <patternFill patternType="solid">
        <fgColor indexed="43"/>
        <bgColor indexed="64"/>
      </patternFill>
    </fill>
    <fill>
      <patternFill patternType="solid">
        <fgColor indexed="22"/>
        <bgColor indexed="0"/>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theme="4" tint="0.39997558519241921"/>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8">
    <xf numFmtId="0" fontId="0" fillId="0" borderId="0"/>
    <xf numFmtId="44" fontId="3" fillId="0" borderId="0" applyFont="0" applyFill="0" applyBorder="0" applyAlignment="0" applyProtection="0"/>
    <xf numFmtId="0" fontId="3" fillId="0" borderId="0"/>
    <xf numFmtId="0" fontId="2" fillId="0" borderId="0"/>
    <xf numFmtId="9" fontId="17" fillId="0" borderId="0" applyFont="0" applyFill="0" applyBorder="0" applyAlignment="0" applyProtection="0"/>
    <xf numFmtId="43" fontId="17" fillId="0" borderId="0" applyFont="0" applyFill="0" applyBorder="0" applyAlignment="0" applyProtection="0"/>
    <xf numFmtId="0" fontId="40" fillId="0" borderId="0"/>
    <xf numFmtId="0" fontId="40" fillId="0" borderId="0"/>
  </cellStyleXfs>
  <cellXfs count="650">
    <xf numFmtId="0" fontId="0" fillId="0" borderId="0" xfId="0"/>
    <xf numFmtId="0" fontId="4" fillId="0" borderId="0" xfId="0" applyFont="1"/>
    <xf numFmtId="0" fontId="0" fillId="0" borderId="1" xfId="0" applyBorder="1"/>
    <xf numFmtId="0" fontId="0" fillId="0" borderId="0" xfId="0" applyAlignment="1">
      <alignment wrapText="1"/>
    </xf>
    <xf numFmtId="0" fontId="4" fillId="0" borderId="0" xfId="0" applyFont="1" applyAlignment="1">
      <alignment horizontal="left"/>
    </xf>
    <xf numFmtId="0" fontId="4" fillId="0" borderId="0" xfId="0" applyFont="1" applyAlignment="1">
      <alignment horizontal="center"/>
    </xf>
    <xf numFmtId="0" fontId="3" fillId="0" borderId="0" xfId="0" applyFont="1"/>
    <xf numFmtId="0" fontId="14" fillId="4" borderId="15" xfId="2" applyFont="1" applyFill="1" applyBorder="1" applyAlignment="1">
      <alignment horizontal="center" vertical="center" wrapText="1"/>
    </xf>
    <xf numFmtId="2" fontId="14" fillId="4" borderId="15" xfId="2" applyNumberFormat="1" applyFont="1" applyFill="1" applyBorder="1" applyAlignment="1">
      <alignment horizontal="center" vertical="center" wrapText="1"/>
    </xf>
    <xf numFmtId="0" fontId="14" fillId="4" borderId="13" xfId="2" applyFont="1" applyFill="1" applyBorder="1" applyAlignment="1">
      <alignment horizontal="center" vertical="center" wrapText="1"/>
    </xf>
    <xf numFmtId="0" fontId="0" fillId="0" borderId="0" xfId="0" applyAlignment="1">
      <alignment vertical="top"/>
    </xf>
    <xf numFmtId="0" fontId="5" fillId="0" borderId="0" xfId="0" applyFont="1"/>
    <xf numFmtId="0" fontId="0" fillId="0" borderId="0" xfId="0" applyAlignment="1">
      <alignment horizontal="left"/>
    </xf>
    <xf numFmtId="0" fontId="4" fillId="0" borderId="0" xfId="0" applyFont="1" applyAlignment="1">
      <alignment wrapText="1"/>
    </xf>
    <xf numFmtId="0" fontId="0" fillId="6" borderId="11" xfId="0" applyFill="1" applyBorder="1" applyAlignment="1">
      <alignment horizontal="center"/>
    </xf>
    <xf numFmtId="0" fontId="3" fillId="6" borderId="4" xfId="0" applyFont="1" applyFill="1" applyBorder="1" applyAlignment="1">
      <alignment horizontal="center"/>
    </xf>
    <xf numFmtId="0" fontId="3" fillId="6" borderId="10" xfId="0" applyFont="1" applyFill="1" applyBorder="1" applyAlignment="1">
      <alignment horizontal="center"/>
    </xf>
    <xf numFmtId="9" fontId="4" fillId="0" borderId="0" xfId="4" applyFont="1"/>
    <xf numFmtId="0" fontId="4" fillId="0" borderId="9" xfId="0" applyFont="1" applyBorder="1" applyAlignment="1">
      <alignment horizontal="center" vertical="top" wrapText="1"/>
    </xf>
    <xf numFmtId="0" fontId="4" fillId="0" borderId="4" xfId="0" applyFont="1" applyBorder="1" applyAlignment="1">
      <alignment horizontal="center" vertical="top" wrapText="1"/>
    </xf>
    <xf numFmtId="0" fontId="15" fillId="5" borderId="8" xfId="0" applyFont="1" applyFill="1" applyBorder="1" applyAlignment="1">
      <alignment vertical="center"/>
    </xf>
    <xf numFmtId="0" fontId="15" fillId="5" borderId="11" xfId="0" applyFont="1" applyFill="1" applyBorder="1" applyAlignment="1">
      <alignment vertical="center"/>
    </xf>
    <xf numFmtId="0" fontId="20" fillId="5" borderId="11" xfId="0" applyFont="1" applyFill="1" applyBorder="1" applyAlignment="1">
      <alignment vertical="center" wrapText="1"/>
    </xf>
    <xf numFmtId="0" fontId="15" fillId="5" borderId="12" xfId="0" applyFont="1" applyFill="1" applyBorder="1" applyAlignment="1">
      <alignment vertical="center"/>
    </xf>
    <xf numFmtId="166" fontId="4" fillId="0" borderId="0" xfId="0" applyNumberFormat="1" applyFont="1"/>
    <xf numFmtId="167" fontId="4" fillId="0" borderId="0" xfId="5" applyNumberFormat="1" applyFont="1"/>
    <xf numFmtId="9" fontId="0" fillId="0" borderId="0" xfId="4" applyFont="1"/>
    <xf numFmtId="9" fontId="3" fillId="0" borderId="0" xfId="4" applyFont="1"/>
    <xf numFmtId="0" fontId="19" fillId="4" borderId="1" xfId="2" applyFont="1" applyFill="1" applyBorder="1" applyAlignment="1">
      <alignment horizontal="center" vertical="center" wrapText="1"/>
    </xf>
    <xf numFmtId="2" fontId="19" fillId="4" borderId="1" xfId="2" applyNumberFormat="1" applyFont="1" applyFill="1" applyBorder="1" applyAlignment="1">
      <alignment horizontal="center" vertical="center" wrapText="1"/>
    </xf>
    <xf numFmtId="2" fontId="21" fillId="4" borderId="1" xfId="2" applyNumberFormat="1" applyFont="1" applyFill="1" applyBorder="1" applyAlignment="1">
      <alignment horizontal="center" vertical="center" wrapText="1"/>
    </xf>
    <xf numFmtId="0" fontId="21" fillId="4" borderId="1" xfId="2" applyFont="1" applyFill="1" applyBorder="1" applyAlignment="1">
      <alignment horizontal="center" vertical="center" wrapText="1"/>
    </xf>
    <xf numFmtId="0" fontId="4" fillId="0" borderId="0" xfId="0" applyFont="1" applyAlignment="1">
      <alignment horizontal="left" vertical="center"/>
    </xf>
    <xf numFmtId="0" fontId="4" fillId="0" borderId="0" xfId="0" applyFont="1" applyAlignment="1">
      <alignment vertical="top"/>
    </xf>
    <xf numFmtId="44" fontId="0" fillId="0" borderId="1" xfId="0" applyNumberFormat="1" applyBorder="1"/>
    <xf numFmtId="0" fontId="23" fillId="10" borderId="1" xfId="0" applyFont="1" applyFill="1" applyBorder="1" applyAlignment="1">
      <alignment horizontal="left"/>
    </xf>
    <xf numFmtId="0" fontId="23" fillId="10" borderId="1" xfId="0" applyFont="1" applyFill="1" applyBorder="1"/>
    <xf numFmtId="0" fontId="0" fillId="0" borderId="7" xfId="0" applyBorder="1" applyAlignment="1">
      <alignment horizontal="left"/>
    </xf>
    <xf numFmtId="0" fontId="7" fillId="0" borderId="0" xfId="0" applyFont="1"/>
    <xf numFmtId="44" fontId="0" fillId="0" borderId="7" xfId="0" applyNumberFormat="1" applyBorder="1"/>
    <xf numFmtId="44" fontId="0" fillId="0" borderId="0" xfId="0" applyNumberFormat="1"/>
    <xf numFmtId="0" fontId="23" fillId="0" borderId="15" xfId="0" applyFont="1" applyBorder="1" applyAlignment="1">
      <alignment wrapText="1"/>
    </xf>
    <xf numFmtId="0" fontId="3" fillId="12" borderId="9" xfId="0" applyFont="1" applyFill="1" applyBorder="1"/>
    <xf numFmtId="0" fontId="3" fillId="0" borderId="1" xfId="0" applyFont="1" applyBorder="1"/>
    <xf numFmtId="0" fontId="3" fillId="12" borderId="1" xfId="0" applyFont="1" applyFill="1" applyBorder="1"/>
    <xf numFmtId="0" fontId="0" fillId="0" borderId="1" xfId="0" applyBorder="1" applyAlignment="1">
      <alignment horizontal="center"/>
    </xf>
    <xf numFmtId="0" fontId="0" fillId="12" borderId="9" xfId="0" applyFill="1" applyBorder="1" applyAlignment="1">
      <alignment horizontal="center"/>
    </xf>
    <xf numFmtId="0" fontId="0" fillId="12" borderId="1" xfId="0" applyFill="1" applyBorder="1" applyAlignment="1">
      <alignment horizontal="center"/>
    </xf>
    <xf numFmtId="0" fontId="0" fillId="0" borderId="0" xfId="0" applyAlignment="1">
      <alignment vertical="top" wrapText="1"/>
    </xf>
    <xf numFmtId="0" fontId="0" fillId="0" borderId="0" xfId="0" applyAlignment="1">
      <alignment horizontal="left" wrapText="1"/>
    </xf>
    <xf numFmtId="14" fontId="0" fillId="0" borderId="0" xfId="0" applyNumberFormat="1" applyAlignment="1">
      <alignment vertical="top" wrapText="1"/>
    </xf>
    <xf numFmtId="14" fontId="4" fillId="0" borderId="0" xfId="0" applyNumberFormat="1" applyFont="1"/>
    <xf numFmtId="0" fontId="19" fillId="4" borderId="13" xfId="2" applyFont="1" applyFill="1" applyBorder="1" applyAlignment="1">
      <alignment horizontal="center" vertical="center" wrapText="1"/>
    </xf>
    <xf numFmtId="0" fontId="3" fillId="0" borderId="0" xfId="0" applyFont="1" applyAlignment="1">
      <alignment horizontal="left" wrapText="1"/>
    </xf>
    <xf numFmtId="0" fontId="4" fillId="7" borderId="1" xfId="0" applyFont="1" applyFill="1" applyBorder="1" applyAlignment="1">
      <alignment horizontal="center"/>
    </xf>
    <xf numFmtId="14" fontId="4" fillId="7" borderId="1" xfId="0" applyNumberFormat="1" applyFont="1" applyFill="1" applyBorder="1"/>
    <xf numFmtId="9" fontId="4" fillId="7" borderId="1" xfId="0" applyNumberFormat="1" applyFont="1" applyFill="1" applyBorder="1" applyAlignment="1">
      <alignment horizontal="center"/>
    </xf>
    <xf numFmtId="0" fontId="0" fillId="0" borderId="7" xfId="0" applyBorder="1" applyAlignment="1">
      <alignment horizontal="center"/>
    </xf>
    <xf numFmtId="0" fontId="23" fillId="10" borderId="1" xfId="0" applyFont="1" applyFill="1" applyBorder="1" applyAlignment="1">
      <alignment horizontal="center" wrapText="1"/>
    </xf>
    <xf numFmtId="0" fontId="23" fillId="10" borderId="1" xfId="0" applyFont="1" applyFill="1" applyBorder="1" applyAlignment="1">
      <alignment horizontal="right" wrapText="1"/>
    </xf>
    <xf numFmtId="44" fontId="0" fillId="12" borderId="9" xfId="0" applyNumberFormat="1" applyFill="1" applyBorder="1"/>
    <xf numFmtId="44" fontId="0" fillId="12" borderId="1" xfId="0" applyNumberFormat="1" applyFill="1" applyBorder="1"/>
    <xf numFmtId="0" fontId="23" fillId="10" borderId="1" xfId="0" applyFont="1" applyFill="1" applyBorder="1" applyAlignment="1">
      <alignment horizontal="center"/>
    </xf>
    <xf numFmtId="44" fontId="23" fillId="10" borderId="1" xfId="0" applyNumberFormat="1" applyFont="1" applyFill="1" applyBorder="1"/>
    <xf numFmtId="0" fontId="5" fillId="8" borderId="2" xfId="0" applyFont="1" applyFill="1" applyBorder="1"/>
    <xf numFmtId="0" fontId="5" fillId="8" borderId="10" xfId="0" applyFont="1" applyFill="1" applyBorder="1"/>
    <xf numFmtId="0" fontId="5" fillId="8" borderId="10" xfId="0" applyFont="1" applyFill="1" applyBorder="1" applyAlignment="1">
      <alignment horizontal="right"/>
    </xf>
    <xf numFmtId="0" fontId="5" fillId="8" borderId="10" xfId="0" applyFont="1" applyFill="1" applyBorder="1" applyAlignment="1">
      <alignment horizontal="center"/>
    </xf>
    <xf numFmtId="0" fontId="7" fillId="0" borderId="1" xfId="0" applyFont="1" applyBorder="1" applyAlignment="1">
      <alignment horizontal="center"/>
    </xf>
    <xf numFmtId="0" fontId="8" fillId="0" borderId="9" xfId="0" applyFont="1" applyBorder="1" applyAlignment="1">
      <alignment horizontal="center" vertical="top" wrapText="1"/>
    </xf>
    <xf numFmtId="0" fontId="3" fillId="0" borderId="0" xfId="0" applyFont="1" applyAlignment="1">
      <alignment wrapText="1"/>
    </xf>
    <xf numFmtId="0" fontId="6" fillId="11" borderId="1" xfId="0" applyFont="1" applyFill="1" applyBorder="1" applyAlignment="1" applyProtection="1">
      <alignment horizontal="center" vertical="center" wrapText="1"/>
      <protection locked="0"/>
    </xf>
    <xf numFmtId="1" fontId="3" fillId="11" borderId="1" xfId="0" applyNumberFormat="1" applyFont="1" applyFill="1" applyBorder="1" applyAlignment="1" applyProtection="1">
      <alignment horizontal="center" vertical="top"/>
      <protection locked="0"/>
    </xf>
    <xf numFmtId="0" fontId="3" fillId="11" borderId="1" xfId="0" applyFont="1" applyFill="1" applyBorder="1" applyAlignment="1" applyProtection="1">
      <alignment horizontal="center" vertical="top"/>
      <protection locked="0"/>
    </xf>
    <xf numFmtId="0" fontId="0" fillId="11" borderId="10" xfId="0" applyFill="1" applyBorder="1" applyAlignment="1" applyProtection="1">
      <alignment horizontal="center" vertical="top"/>
      <protection locked="0"/>
    </xf>
    <xf numFmtId="1" fontId="0" fillId="11" borderId="1" xfId="0" applyNumberFormat="1" applyFill="1" applyBorder="1" applyAlignment="1" applyProtection="1">
      <alignment horizontal="center" vertical="top"/>
      <protection locked="0"/>
    </xf>
    <xf numFmtId="0" fontId="0" fillId="11" borderId="1" xfId="0" applyFill="1" applyBorder="1" applyAlignment="1" applyProtection="1">
      <alignment horizontal="center" vertical="top"/>
      <protection locked="0"/>
    </xf>
    <xf numFmtId="0" fontId="0" fillId="11" borderId="7" xfId="0" applyFill="1" applyBorder="1" applyAlignment="1" applyProtection="1">
      <alignment horizontal="center" vertical="top"/>
      <protection locked="0"/>
    </xf>
    <xf numFmtId="0" fontId="0" fillId="11" borderId="11" xfId="0" applyFill="1" applyBorder="1" applyAlignment="1" applyProtection="1">
      <alignment horizontal="center" vertical="top"/>
      <protection locked="0"/>
    </xf>
    <xf numFmtId="1" fontId="0" fillId="11" borderId="7" xfId="0" applyNumberFormat="1" applyFill="1" applyBorder="1" applyAlignment="1" applyProtection="1">
      <alignment horizontal="center" vertical="top"/>
      <protection locked="0"/>
    </xf>
    <xf numFmtId="1" fontId="3" fillId="11" borderId="7" xfId="0" applyNumberFormat="1" applyFont="1" applyFill="1" applyBorder="1" applyAlignment="1" applyProtection="1">
      <alignment horizontal="center" vertical="top"/>
      <protection locked="0"/>
    </xf>
    <xf numFmtId="0" fontId="4" fillId="11" borderId="1" xfId="0" applyFont="1" applyFill="1" applyBorder="1" applyAlignment="1" applyProtection="1">
      <alignment horizontal="center" vertical="top"/>
      <protection locked="0"/>
    </xf>
    <xf numFmtId="0" fontId="4" fillId="0" borderId="1" xfId="0" applyFont="1" applyBorder="1" applyAlignment="1">
      <alignment horizontal="center" wrapText="1"/>
    </xf>
    <xf numFmtId="14" fontId="4" fillId="7" borderId="1" xfId="0" applyNumberFormat="1" applyFont="1" applyFill="1" applyBorder="1" applyAlignment="1">
      <alignment horizontal="center"/>
    </xf>
    <xf numFmtId="0" fontId="0" fillId="0" borderId="0" xfId="0" applyAlignment="1">
      <alignment horizontal="center"/>
    </xf>
    <xf numFmtId="0" fontId="5" fillId="9" borderId="1" xfId="0" applyFont="1" applyFill="1" applyBorder="1"/>
    <xf numFmtId="0" fontId="5" fillId="9" borderId="1" xfId="0" applyFont="1" applyFill="1" applyBorder="1" applyAlignment="1">
      <alignment horizontal="center"/>
    </xf>
    <xf numFmtId="0" fontId="5" fillId="9" borderId="2" xfId="0" applyFont="1" applyFill="1" applyBorder="1"/>
    <xf numFmtId="0" fontId="5" fillId="9" borderId="3" xfId="0" applyFont="1" applyFill="1" applyBorder="1"/>
    <xf numFmtId="0" fontId="11" fillId="0" borderId="0" xfId="0" applyFont="1"/>
    <xf numFmtId="0" fontId="4" fillId="0" borderId="4" xfId="0" applyFont="1" applyBorder="1"/>
    <xf numFmtId="0" fontId="5" fillId="6" borderId="1" xfId="0" applyFont="1" applyFill="1" applyBorder="1" applyAlignment="1">
      <alignment horizontal="center" wrapText="1"/>
    </xf>
    <xf numFmtId="0" fontId="5" fillId="6" borderId="1" xfId="0" applyFont="1" applyFill="1" applyBorder="1" applyAlignment="1">
      <alignment horizontal="center" vertical="center"/>
    </xf>
    <xf numFmtId="0" fontId="4" fillId="0" borderId="0" xfId="0" applyFont="1" applyAlignment="1">
      <alignment horizontal="left" wrapText="1"/>
    </xf>
    <xf numFmtId="0" fontId="4" fillId="0" borderId="1" xfId="0" applyFont="1" applyBorder="1" applyAlignment="1">
      <alignment horizontal="center" vertical="center"/>
    </xf>
    <xf numFmtId="0" fontId="6" fillId="0" borderId="1" xfId="0" applyFont="1" applyBorder="1" applyAlignment="1">
      <alignment horizontal="center" vertical="center" wrapText="1"/>
    </xf>
    <xf numFmtId="0" fontId="4" fillId="0" borderId="0" xfId="0" applyFont="1" applyAlignment="1">
      <alignment horizontal="left" vertical="top" wrapText="1"/>
    </xf>
    <xf numFmtId="0" fontId="4" fillId="2" borderId="1" xfId="0" applyFont="1" applyFill="1" applyBorder="1" applyAlignment="1">
      <alignment horizontal="center" vertical="center"/>
    </xf>
    <xf numFmtId="0" fontId="4" fillId="2" borderId="0" xfId="0" applyFont="1" applyFill="1" applyAlignment="1">
      <alignment horizontal="center"/>
    </xf>
    <xf numFmtId="0" fontId="4" fillId="0" borderId="0" xfId="0" applyFont="1" applyAlignment="1">
      <alignment vertical="top" wrapText="1"/>
    </xf>
    <xf numFmtId="0" fontId="5" fillId="3" borderId="1" xfId="0" applyFont="1" applyFill="1" applyBorder="1" applyAlignment="1">
      <alignment horizontal="center"/>
    </xf>
    <xf numFmtId="0" fontId="5" fillId="3" borderId="1" xfId="0" applyFont="1" applyFill="1" applyBorder="1" applyAlignment="1">
      <alignment horizontal="center" vertical="center"/>
    </xf>
    <xf numFmtId="0" fontId="4"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0" borderId="2" xfId="0" applyFont="1" applyBorder="1" applyAlignment="1">
      <alignment horizontal="center" wrapText="1"/>
    </xf>
    <xf numFmtId="9" fontId="4" fillId="0" borderId="0" xfId="0" applyNumberFormat="1" applyFont="1"/>
    <xf numFmtId="0" fontId="24" fillId="0" borderId="0" xfId="0" applyFont="1" applyAlignment="1">
      <alignment horizontal="left"/>
    </xf>
    <xf numFmtId="0" fontId="24" fillId="0" borderId="0" xfId="0" applyFont="1" applyAlignment="1">
      <alignment horizontal="left" wrapText="1"/>
    </xf>
    <xf numFmtId="0" fontId="3" fillId="11" borderId="7" xfId="0" applyFont="1" applyFill="1" applyBorder="1" applyAlignment="1" applyProtection="1">
      <alignment horizontal="center" vertical="top"/>
      <protection locked="0"/>
    </xf>
    <xf numFmtId="0" fontId="5" fillId="3" borderId="1" xfId="0" applyFont="1" applyFill="1" applyBorder="1" applyAlignment="1">
      <alignment horizontal="center" vertical="top"/>
    </xf>
    <xf numFmtId="0" fontId="4" fillId="0" borderId="1" xfId="0" applyFont="1" applyBorder="1" applyAlignment="1">
      <alignment horizontal="center" vertical="top"/>
    </xf>
    <xf numFmtId="0" fontId="4" fillId="2" borderId="1" xfId="0" applyFont="1" applyFill="1" applyBorder="1" applyAlignment="1">
      <alignment horizontal="center" vertical="top"/>
    </xf>
    <xf numFmtId="0" fontId="4" fillId="0" borderId="2" xfId="0" applyFont="1" applyBorder="1" applyAlignment="1">
      <alignment horizontal="center" vertical="top"/>
    </xf>
    <xf numFmtId="0" fontId="4" fillId="0" borderId="1" xfId="0" applyFont="1" applyBorder="1" applyAlignment="1">
      <alignment horizontal="center" vertical="top" wrapText="1"/>
    </xf>
    <xf numFmtId="3" fontId="0" fillId="0" borderId="0" xfId="0" applyNumberFormat="1" applyAlignment="1">
      <alignment horizontal="left" vertical="top"/>
    </xf>
    <xf numFmtId="168" fontId="0" fillId="0" borderId="0" xfId="0" applyNumberFormat="1" applyAlignment="1">
      <alignment horizontal="left" vertical="top"/>
    </xf>
    <xf numFmtId="2" fontId="1" fillId="4" borderId="15" xfId="2" applyNumberFormat="1" applyFont="1" applyFill="1" applyBorder="1" applyAlignment="1">
      <alignment horizontal="center" vertical="center" wrapText="1"/>
    </xf>
    <xf numFmtId="0" fontId="1" fillId="4" borderId="15" xfId="2" applyFont="1" applyFill="1" applyBorder="1" applyAlignment="1">
      <alignment horizontal="center" vertical="center" wrapText="1"/>
    </xf>
    <xf numFmtId="0" fontId="4" fillId="0" borderId="0" xfId="0" applyFont="1" applyAlignment="1">
      <alignment horizontal="left" vertical="top"/>
    </xf>
    <xf numFmtId="14" fontId="0" fillId="0" borderId="0" xfId="0" applyNumberFormat="1" applyAlignment="1">
      <alignment horizontal="left" vertical="top" wrapText="1"/>
    </xf>
    <xf numFmtId="0" fontId="25" fillId="13" borderId="24" xfId="0" applyFont="1" applyFill="1" applyBorder="1" applyAlignment="1">
      <alignment horizontal="left" vertical="top"/>
    </xf>
    <xf numFmtId="0" fontId="4" fillId="13" borderId="25" xfId="0" applyFont="1" applyFill="1" applyBorder="1" applyAlignment="1">
      <alignment horizontal="left" vertical="top"/>
    </xf>
    <xf numFmtId="14" fontId="0" fillId="13" borderId="25" xfId="0" applyNumberFormat="1" applyFill="1" applyBorder="1" applyAlignment="1">
      <alignment horizontal="left" vertical="top" wrapText="1"/>
    </xf>
    <xf numFmtId="0" fontId="0" fillId="0" borderId="0" xfId="0" applyAlignment="1">
      <alignment horizontal="left" vertical="top" wrapText="1"/>
    </xf>
    <xf numFmtId="1" fontId="8" fillId="0" borderId="1" xfId="2" applyNumberFormat="1" applyFont="1" applyBorder="1" applyAlignment="1" applyProtection="1">
      <alignment horizontal="center" vertical="top" wrapText="1"/>
      <protection locked="0"/>
    </xf>
    <xf numFmtId="0" fontId="8" fillId="0" borderId="1" xfId="2" applyFont="1" applyBorder="1" applyAlignment="1" applyProtection="1">
      <alignment horizontal="center" vertical="top" wrapText="1"/>
      <protection locked="0"/>
    </xf>
    <xf numFmtId="14" fontId="8" fillId="0" borderId="1" xfId="2" applyNumberFormat="1" applyFont="1" applyBorder="1" applyAlignment="1" applyProtection="1">
      <alignment horizontal="center" vertical="top" wrapText="1"/>
      <protection locked="0"/>
    </xf>
    <xf numFmtId="166" fontId="8" fillId="0" borderId="1" xfId="2" applyNumberFormat="1" applyFont="1" applyBorder="1" applyAlignment="1" applyProtection="1">
      <alignment vertical="top" wrapText="1"/>
      <protection locked="0"/>
    </xf>
    <xf numFmtId="0" fontId="8" fillId="0" borderId="1" xfId="1" applyNumberFormat="1" applyFont="1" applyFill="1" applyBorder="1" applyAlignment="1" applyProtection="1">
      <alignment horizontal="left" vertical="top" wrapText="1"/>
      <protection locked="0"/>
    </xf>
    <xf numFmtId="0" fontId="8" fillId="0" borderId="1" xfId="2" applyFont="1" applyBorder="1" applyAlignment="1" applyProtection="1">
      <alignment horizontal="left" vertical="top" wrapText="1"/>
      <protection locked="0"/>
    </xf>
    <xf numFmtId="0" fontId="4" fillId="0" borderId="1" xfId="0" applyFont="1" applyBorder="1" applyAlignment="1" applyProtection="1">
      <alignment horizontal="left" vertical="top" wrapText="1"/>
      <protection locked="0"/>
    </xf>
    <xf numFmtId="164" fontId="8" fillId="0" borderId="1" xfId="2" applyNumberFormat="1" applyFont="1" applyBorder="1" applyAlignment="1" applyProtection="1">
      <alignment horizontal="center" vertical="top" wrapText="1"/>
      <protection locked="0"/>
    </xf>
    <xf numFmtId="2" fontId="8" fillId="0" borderId="1" xfId="2" applyNumberFormat="1" applyFont="1" applyBorder="1" applyAlignment="1" applyProtection="1">
      <alignment horizontal="center" vertical="top" wrapText="1"/>
      <protection locked="0"/>
    </xf>
    <xf numFmtId="1" fontId="8" fillId="0" borderId="1" xfId="2" quotePrefix="1" applyNumberFormat="1" applyFont="1" applyBorder="1" applyAlignment="1" applyProtection="1">
      <alignment horizontal="center" vertical="top" wrapText="1"/>
      <protection locked="0"/>
    </xf>
    <xf numFmtId="0" fontId="23" fillId="10" borderId="22" xfId="0" applyFont="1" applyFill="1" applyBorder="1" applyAlignment="1">
      <alignment horizontal="left" vertical="top" wrapText="1"/>
    </xf>
    <xf numFmtId="0" fontId="0" fillId="0" borderId="0" xfId="0" applyAlignment="1">
      <alignment horizontal="left" vertical="top"/>
    </xf>
    <xf numFmtId="0" fontId="5" fillId="0" borderId="2" xfId="0" applyFont="1" applyBorder="1"/>
    <xf numFmtId="0" fontId="0" fillId="0" borderId="10" xfId="0" applyBorder="1"/>
    <xf numFmtId="0" fontId="0" fillId="0" borderId="3" xfId="0" applyBorder="1"/>
    <xf numFmtId="0" fontId="16" fillId="0" borderId="0" xfId="0" applyFont="1" applyAlignment="1">
      <alignment horizontal="left" vertical="top"/>
    </xf>
    <xf numFmtId="3" fontId="0" fillId="13" borderId="25" xfId="0" applyNumberFormat="1" applyFill="1" applyBorder="1" applyAlignment="1">
      <alignment horizontal="left" vertical="top"/>
    </xf>
    <xf numFmtId="0" fontId="0" fillId="13" borderId="25" xfId="0" applyFill="1" applyBorder="1" applyAlignment="1">
      <alignment horizontal="left" vertical="top"/>
    </xf>
    <xf numFmtId="0" fontId="16" fillId="13" borderId="25" xfId="0" applyFont="1" applyFill="1" applyBorder="1" applyAlignment="1">
      <alignment horizontal="left" vertical="top"/>
    </xf>
    <xf numFmtId="0" fontId="0" fillId="13" borderId="26" xfId="0" applyFill="1" applyBorder="1" applyAlignment="1">
      <alignment horizontal="left" vertical="top"/>
    </xf>
    <xf numFmtId="0" fontId="0" fillId="0" borderId="0" xfId="0" pivotButton="1" applyAlignment="1">
      <alignment horizontal="left" vertical="top"/>
    </xf>
    <xf numFmtId="0" fontId="0" fillId="0" borderId="0" xfId="0" pivotButton="1" applyAlignment="1">
      <alignment horizontal="left" vertical="top" wrapText="1"/>
    </xf>
    <xf numFmtId="14" fontId="0" fillId="0" borderId="0" xfId="0" applyNumberFormat="1" applyAlignment="1">
      <alignment horizontal="left" vertical="top"/>
    </xf>
    <xf numFmtId="0" fontId="24" fillId="0" borderId="0" xfId="0" applyFont="1" applyAlignment="1" applyProtection="1">
      <alignment horizontal="center" wrapText="1"/>
      <protection locked="0"/>
    </xf>
    <xf numFmtId="0" fontId="4" fillId="0" borderId="1" xfId="0" applyFont="1" applyBorder="1" applyAlignment="1" applyProtection="1">
      <alignment horizontal="center" vertical="center"/>
      <protection locked="0"/>
    </xf>
    <xf numFmtId="0" fontId="4" fillId="0" borderId="0" xfId="0" applyFont="1" applyAlignment="1">
      <alignment horizontal="center" vertical="top" wrapText="1"/>
    </xf>
    <xf numFmtId="165" fontId="4" fillId="7" borderId="1" xfId="0" applyNumberFormat="1" applyFont="1" applyFill="1" applyBorder="1" applyAlignment="1">
      <alignment horizontal="center" wrapText="1"/>
    </xf>
    <xf numFmtId="0" fontId="5" fillId="9" borderId="1" xfId="0" applyFont="1" applyFill="1" applyBorder="1" applyAlignment="1">
      <alignment horizontal="center" vertical="center"/>
    </xf>
    <xf numFmtId="0" fontId="3" fillId="7" borderId="1" xfId="0" applyFont="1" applyFill="1" applyBorder="1" applyAlignment="1">
      <alignment horizontal="center"/>
    </xf>
    <xf numFmtId="0" fontId="0" fillId="2" borderId="0" xfId="0" applyFill="1"/>
    <xf numFmtId="0" fontId="0" fillId="2" borderId="0" xfId="0" applyFill="1" applyAlignment="1">
      <alignment horizontal="center"/>
    </xf>
    <xf numFmtId="0" fontId="8" fillId="2" borderId="0" xfId="0" applyFont="1" applyFill="1"/>
    <xf numFmtId="0" fontId="3" fillId="11" borderId="1" xfId="0" applyFont="1" applyFill="1" applyBorder="1" applyAlignment="1">
      <alignment horizontal="center" vertical="top"/>
    </xf>
    <xf numFmtId="0" fontId="16" fillId="0" borderId="0" xfId="0" applyFont="1"/>
    <xf numFmtId="0" fontId="11" fillId="2" borderId="0" xfId="0" applyFont="1" applyFill="1"/>
    <xf numFmtId="0" fontId="12" fillId="0" borderId="4" xfId="0" applyFont="1" applyBorder="1"/>
    <xf numFmtId="0" fontId="15" fillId="5" borderId="11" xfId="0" applyFont="1" applyFill="1" applyBorder="1" applyAlignment="1">
      <alignment horizontal="center" vertical="center"/>
    </xf>
    <xf numFmtId="0" fontId="7" fillId="0" borderId="0" xfId="0" applyFont="1" applyAlignment="1">
      <alignment horizontal="left"/>
    </xf>
    <xf numFmtId="0" fontId="7" fillId="0" borderId="0" xfId="0" applyFont="1" applyAlignment="1">
      <alignment horizontal="left" wrapText="1"/>
    </xf>
    <xf numFmtId="0" fontId="0" fillId="14" borderId="0" xfId="0" applyFill="1"/>
    <xf numFmtId="0" fontId="0" fillId="13" borderId="0" xfId="0" applyFill="1"/>
    <xf numFmtId="0" fontId="7" fillId="13" borderId="0" xfId="0" applyFont="1" applyFill="1"/>
    <xf numFmtId="0" fontId="0" fillId="15" borderId="0" xfId="0" applyFill="1"/>
    <xf numFmtId="0" fontId="3" fillId="13" borderId="0" xfId="0" applyFont="1" applyFill="1"/>
    <xf numFmtId="0" fontId="3" fillId="13" borderId="0" xfId="0" applyFont="1" applyFill="1" applyAlignment="1">
      <alignment wrapText="1"/>
    </xf>
    <xf numFmtId="0" fontId="26" fillId="16" borderId="0" xfId="0" applyFont="1" applyFill="1" applyAlignment="1">
      <alignment wrapText="1"/>
    </xf>
    <xf numFmtId="0" fontId="5" fillId="8" borderId="0" xfId="0" applyFont="1" applyFill="1" applyAlignment="1">
      <alignment horizontal="center" vertical="top"/>
    </xf>
    <xf numFmtId="0" fontId="5" fillId="0" borderId="0" xfId="0" applyFont="1" applyAlignment="1">
      <alignment horizontal="left" vertical="top" wrapText="1"/>
    </xf>
    <xf numFmtId="0" fontId="4" fillId="0" borderId="0" xfId="0" applyFont="1" applyAlignment="1" applyProtection="1">
      <alignment horizontal="left" vertical="top" wrapText="1"/>
      <protection locked="0"/>
    </xf>
    <xf numFmtId="0" fontId="6" fillId="0" borderId="0" xfId="0" applyFont="1" applyAlignment="1">
      <alignment horizontal="center" vertical="center" wrapText="1"/>
    </xf>
    <xf numFmtId="0" fontId="9" fillId="0" borderId="0" xfId="0" applyFont="1" applyAlignment="1">
      <alignment horizontal="left" vertical="top" wrapText="1"/>
    </xf>
    <xf numFmtId="0" fontId="5" fillId="3" borderId="0" xfId="0" applyFont="1" applyFill="1" applyAlignment="1">
      <alignment horizontal="center" vertical="center"/>
    </xf>
    <xf numFmtId="0" fontId="0" fillId="7" borderId="2" xfId="0" applyFill="1" applyBorder="1" applyAlignment="1">
      <alignment horizontal="left" vertical="center"/>
    </xf>
    <xf numFmtId="0" fontId="0" fillId="7" borderId="10" xfId="0" applyFill="1" applyBorder="1" applyAlignment="1">
      <alignment horizontal="left" vertical="center"/>
    </xf>
    <xf numFmtId="3" fontId="0" fillId="7" borderId="2" xfId="0" applyNumberFormat="1" applyFill="1" applyBorder="1" applyAlignment="1">
      <alignment horizontal="left" vertical="center"/>
    </xf>
    <xf numFmtId="3" fontId="0" fillId="7" borderId="10" xfId="0" applyNumberFormat="1" applyFill="1" applyBorder="1" applyAlignment="1">
      <alignment horizontal="left" vertical="center"/>
    </xf>
    <xf numFmtId="0" fontId="3" fillId="0" borderId="0" xfId="2"/>
    <xf numFmtId="0" fontId="0" fillId="11" borderId="9" xfId="0" applyFill="1" applyBorder="1" applyAlignment="1" applyProtection="1">
      <alignment horizontal="center" vertical="top"/>
      <protection locked="0"/>
    </xf>
    <xf numFmtId="169" fontId="4" fillId="7" borderId="1" xfId="0" applyNumberFormat="1" applyFont="1" applyFill="1" applyBorder="1"/>
    <xf numFmtId="0" fontId="23" fillId="10" borderId="0" xfId="0" applyFont="1" applyFill="1" applyAlignment="1">
      <alignment horizontal="left" vertical="top" wrapText="1"/>
    </xf>
    <xf numFmtId="0" fontId="7" fillId="0" borderId="0" xfId="0" applyFont="1" applyAlignment="1">
      <alignment horizontal="left" vertical="top"/>
    </xf>
    <xf numFmtId="0" fontId="4" fillId="2" borderId="8" xfId="0" applyFont="1" applyFill="1" applyBorder="1" applyAlignment="1">
      <alignment horizontal="center" vertical="center"/>
    </xf>
    <xf numFmtId="0" fontId="0" fillId="0" borderId="10" xfId="0" applyBorder="1" applyAlignment="1">
      <alignment vertical="top"/>
    </xf>
    <xf numFmtId="0" fontId="0" fillId="17" borderId="10" xfId="0" applyFill="1" applyBorder="1" applyAlignment="1">
      <alignment horizontal="center" vertical="center"/>
    </xf>
    <xf numFmtId="0" fontId="7" fillId="0" borderId="10" xfId="0" applyFont="1" applyBorder="1" applyAlignment="1">
      <alignment horizontal="left" vertical="center"/>
    </xf>
    <xf numFmtId="9" fontId="0" fillId="17" borderId="10" xfId="0" applyNumberFormat="1" applyFill="1" applyBorder="1" applyAlignment="1">
      <alignment horizontal="center" vertical="center"/>
    </xf>
    <xf numFmtId="0" fontId="7" fillId="0" borderId="10" xfId="0" applyFont="1" applyBorder="1" applyAlignment="1">
      <alignment horizontal="right" vertical="center"/>
    </xf>
    <xf numFmtId="0" fontId="4" fillId="0" borderId="0" xfId="0" applyFont="1" applyAlignment="1">
      <alignment vertical="center"/>
    </xf>
    <xf numFmtId="0" fontId="3" fillId="17" borderId="0" xfId="0" applyFont="1" applyFill="1"/>
    <xf numFmtId="0" fontId="3" fillId="0" borderId="1" xfId="0" applyFont="1" applyBorder="1" applyAlignment="1">
      <alignment horizontal="left" vertical="top" wrapText="1"/>
    </xf>
    <xf numFmtId="9" fontId="7" fillId="17" borderId="1" xfId="0" applyNumberFormat="1" applyFont="1" applyFill="1" applyBorder="1" applyAlignment="1">
      <alignment horizontal="left" vertical="top" wrapText="1"/>
    </xf>
    <xf numFmtId="0" fontId="7" fillId="14" borderId="0" xfId="0" applyFont="1" applyFill="1"/>
    <xf numFmtId="0" fontId="3" fillId="14" borderId="0" xfId="0" applyFont="1" applyFill="1"/>
    <xf numFmtId="0" fontId="7" fillId="14" borderId="0" xfId="0" applyFont="1" applyFill="1" applyAlignment="1">
      <alignment horizontal="left"/>
    </xf>
    <xf numFmtId="0" fontId="7" fillId="14" borderId="0" xfId="0" applyFont="1" applyFill="1" applyAlignment="1">
      <alignment horizontal="left" wrapText="1"/>
    </xf>
    <xf numFmtId="0" fontId="7" fillId="0" borderId="2" xfId="2" applyFont="1" applyBorder="1" applyAlignment="1">
      <alignment vertical="top"/>
    </xf>
    <xf numFmtId="3" fontId="0" fillId="11" borderId="1" xfId="5" applyNumberFormat="1" applyFont="1" applyFill="1" applyBorder="1" applyAlignment="1">
      <alignment horizontal="center" vertical="center"/>
    </xf>
    <xf numFmtId="0" fontId="3" fillId="11" borderId="1" xfId="0" applyFont="1" applyFill="1" applyBorder="1" applyAlignment="1" applyProtection="1">
      <alignment horizontal="center" vertical="center" wrapText="1"/>
      <protection locked="0"/>
    </xf>
    <xf numFmtId="169" fontId="0" fillId="11" borderId="1" xfId="0" applyNumberFormat="1" applyFill="1" applyBorder="1" applyAlignment="1" applyProtection="1">
      <alignment horizontal="center" vertical="center"/>
      <protection locked="0"/>
    </xf>
    <xf numFmtId="14" fontId="0" fillId="11" borderId="1" xfId="0" applyNumberFormat="1" applyFill="1" applyBorder="1" applyAlignment="1" applyProtection="1">
      <alignment horizontal="center" vertical="center"/>
      <protection locked="0"/>
    </xf>
    <xf numFmtId="0" fontId="0" fillId="0" borderId="0" xfId="0" applyAlignment="1">
      <alignment horizontal="center" vertical="center"/>
    </xf>
    <xf numFmtId="0" fontId="4" fillId="11" borderId="1" xfId="0" applyFont="1" applyFill="1" applyBorder="1" applyAlignment="1">
      <alignment horizontal="center" vertical="center"/>
    </xf>
    <xf numFmtId="9" fontId="4" fillId="18" borderId="1" xfId="0" applyNumberFormat="1" applyFont="1" applyFill="1" applyBorder="1" applyAlignment="1">
      <alignment horizontal="center" vertical="center"/>
    </xf>
    <xf numFmtId="0" fontId="4" fillId="13" borderId="0" xfId="0" applyFont="1" applyFill="1"/>
    <xf numFmtId="9" fontId="4" fillId="13" borderId="0" xfId="4" applyFont="1" applyFill="1"/>
    <xf numFmtId="167" fontId="4" fillId="13" borderId="0" xfId="5" applyNumberFormat="1" applyFont="1" applyFill="1"/>
    <xf numFmtId="9" fontId="0" fillId="13" borderId="0" xfId="4" applyFont="1" applyFill="1"/>
    <xf numFmtId="166" fontId="4" fillId="13" borderId="0" xfId="0" applyNumberFormat="1" applyFont="1" applyFill="1"/>
    <xf numFmtId="0" fontId="24" fillId="0" borderId="0" xfId="0" applyFont="1" applyAlignment="1" applyProtection="1">
      <alignment horizontal="left" wrapText="1"/>
      <protection locked="0"/>
    </xf>
    <xf numFmtId="0" fontId="27" fillId="0" borderId="0" xfId="2" applyFont="1" applyAlignment="1" applyProtection="1">
      <alignment horizontal="center"/>
      <protection locked="0"/>
    </xf>
    <xf numFmtId="0" fontId="8" fillId="0" borderId="0" xfId="2" applyFont="1" applyProtection="1">
      <protection locked="0"/>
    </xf>
    <xf numFmtId="0" fontId="8" fillId="0" borderId="0" xfId="2" applyFont="1"/>
    <xf numFmtId="164" fontId="8" fillId="0" borderId="0" xfId="2" applyNumberFormat="1" applyFont="1"/>
    <xf numFmtId="0" fontId="8" fillId="0" borderId="1" xfId="2" applyFont="1" applyBorder="1" applyAlignment="1">
      <alignment horizontal="left" vertical="center"/>
    </xf>
    <xf numFmtId="0" fontId="3" fillId="0" borderId="0" xfId="2" applyAlignment="1">
      <alignment vertical="center"/>
    </xf>
    <xf numFmtId="0" fontId="27" fillId="19" borderId="2" xfId="2" applyFont="1" applyFill="1" applyBorder="1" applyAlignment="1">
      <alignment horizontal="left" vertical="center"/>
    </xf>
    <xf numFmtId="0" fontId="8" fillId="19" borderId="10" xfId="2" applyFont="1" applyFill="1" applyBorder="1"/>
    <xf numFmtId="0" fontId="27" fillId="19" borderId="3" xfId="2" applyFont="1" applyFill="1" applyBorder="1" applyAlignment="1">
      <alignment horizontal="left" vertical="center"/>
    </xf>
    <xf numFmtId="9" fontId="27" fillId="0" borderId="1" xfId="2" applyNumberFormat="1" applyFont="1" applyBorder="1" applyAlignment="1">
      <alignment horizontal="center" vertical="center"/>
    </xf>
    <xf numFmtId="0" fontId="8" fillId="19" borderId="3" xfId="2" applyFont="1" applyFill="1" applyBorder="1"/>
    <xf numFmtId="0" fontId="8" fillId="0" borderId="1" xfId="2" applyFont="1" applyBorder="1" applyAlignment="1">
      <alignment horizontal="center" vertical="center"/>
    </xf>
    <xf numFmtId="0" fontId="8" fillId="0" borderId="0" xfId="2" quotePrefix="1" applyFont="1"/>
    <xf numFmtId="0" fontId="27" fillId="19" borderId="1" xfId="2" applyFont="1" applyFill="1" applyBorder="1" applyAlignment="1">
      <alignment horizontal="center" vertical="center"/>
    </xf>
    <xf numFmtId="0" fontId="8" fillId="19" borderId="3" xfId="2" applyFont="1" applyFill="1" applyBorder="1" applyAlignment="1">
      <alignment vertical="top"/>
    </xf>
    <xf numFmtId="0" fontId="8" fillId="20" borderId="10" xfId="2" applyFont="1" applyFill="1" applyBorder="1" applyAlignment="1">
      <alignment horizontal="left" vertical="top"/>
    </xf>
    <xf numFmtId="0" fontId="8" fillId="0" borderId="1" xfId="2" applyFont="1" applyBorder="1"/>
    <xf numFmtId="0" fontId="8" fillId="0" borderId="1" xfId="2" applyFont="1" applyBorder="1" applyAlignment="1" applyProtection="1">
      <alignment horizontal="center" vertical="center"/>
      <protection locked="0"/>
    </xf>
    <xf numFmtId="0" fontId="27" fillId="0" borderId="0" xfId="2" applyFont="1" applyAlignment="1">
      <alignment horizontal="left" vertical="center"/>
    </xf>
    <xf numFmtId="0" fontId="8" fillId="20" borderId="2" xfId="2" applyFont="1" applyFill="1" applyBorder="1" applyAlignment="1">
      <alignment horizontal="left" vertical="top"/>
    </xf>
    <xf numFmtId="9" fontId="8" fillId="0" borderId="1" xfId="2" applyNumberFormat="1" applyFont="1" applyBorder="1"/>
    <xf numFmtId="0" fontId="8" fillId="0" borderId="0" xfId="2" applyFont="1" applyAlignment="1">
      <alignment horizontal="left"/>
    </xf>
    <xf numFmtId="0" fontId="8" fillId="2" borderId="1" xfId="2" applyFont="1" applyFill="1" applyBorder="1"/>
    <xf numFmtId="0" fontId="8" fillId="21" borderId="1" xfId="2" applyFont="1" applyFill="1" applyBorder="1" applyAlignment="1">
      <alignment horizontal="center" vertical="center"/>
    </xf>
    <xf numFmtId="0" fontId="27" fillId="0" borderId="1" xfId="2" applyFont="1" applyBorder="1" applyAlignment="1">
      <alignment horizontal="right" vertical="center"/>
    </xf>
    <xf numFmtId="0" fontId="27" fillId="19" borderId="34" xfId="2" applyFont="1" applyFill="1" applyBorder="1" applyAlignment="1">
      <alignment vertical="center"/>
    </xf>
    <xf numFmtId="0" fontId="8" fillId="19" borderId="1" xfId="2" applyFont="1" applyFill="1" applyBorder="1" applyAlignment="1">
      <alignment vertical="center"/>
    </xf>
    <xf numFmtId="0" fontId="4" fillId="0" borderId="0" xfId="2" applyFont="1" applyAlignment="1">
      <alignment horizontal="center" vertical="center"/>
    </xf>
    <xf numFmtId="0" fontId="7" fillId="0" borderId="0" xfId="2" applyFont="1" applyAlignment="1">
      <alignment horizontal="center" vertical="center"/>
    </xf>
    <xf numFmtId="0" fontId="7" fillId="0" borderId="0" xfId="2" applyFont="1" applyAlignment="1">
      <alignment horizontal="left" vertical="center"/>
    </xf>
    <xf numFmtId="0" fontId="7" fillId="0" borderId="0" xfId="2" applyFont="1" applyAlignment="1" applyProtection="1">
      <alignment horizontal="center" vertical="center"/>
      <protection locked="0"/>
    </xf>
    <xf numFmtId="0" fontId="4" fillId="0" borderId="0" xfId="2" applyFont="1" applyAlignment="1" applyProtection="1">
      <alignment horizontal="center" vertical="center"/>
      <protection locked="0"/>
    </xf>
    <xf numFmtId="0" fontId="3" fillId="0" borderId="0" xfId="2" applyAlignment="1">
      <alignment horizontal="center" vertical="center"/>
    </xf>
    <xf numFmtId="0" fontId="5" fillId="0" borderId="0" xfId="2" applyFont="1" applyAlignment="1" applyProtection="1">
      <alignment horizontal="center" vertical="center"/>
      <protection locked="0"/>
    </xf>
    <xf numFmtId="165" fontId="4" fillId="0" borderId="0" xfId="2" applyNumberFormat="1" applyFont="1" applyAlignment="1" applyProtection="1">
      <alignment horizontal="center" vertical="center"/>
      <protection locked="0"/>
    </xf>
    <xf numFmtId="0" fontId="7" fillId="0" borderId="0" xfId="2" applyFont="1" applyAlignment="1" applyProtection="1">
      <alignment vertical="center"/>
      <protection locked="0"/>
    </xf>
    <xf numFmtId="0" fontId="4" fillId="0" borderId="0" xfId="2" applyFont="1" applyAlignment="1">
      <alignment horizontal="center" vertical="center" wrapText="1"/>
    </xf>
    <xf numFmtId="0" fontId="4" fillId="0" borderId="0" xfId="2" applyFont="1" applyAlignment="1">
      <alignment horizontal="left"/>
    </xf>
    <xf numFmtId="0" fontId="4" fillId="0" borderId="0" xfId="2" applyFont="1"/>
    <xf numFmtId="0" fontId="4" fillId="3" borderId="1" xfId="2" applyFont="1" applyFill="1" applyBorder="1" applyAlignment="1">
      <alignment horizontal="center" vertical="center"/>
    </xf>
    <xf numFmtId="0" fontId="4" fillId="3" borderId="1" xfId="2" applyFont="1" applyFill="1" applyBorder="1" applyAlignment="1">
      <alignment horizontal="center"/>
    </xf>
    <xf numFmtId="0" fontId="4" fillId="0" borderId="1" xfId="2" applyFont="1" applyBorder="1" applyAlignment="1">
      <alignment horizontal="center" vertical="center"/>
    </xf>
    <xf numFmtId="0" fontId="4" fillId="0" borderId="1" xfId="2" applyFont="1" applyBorder="1" applyAlignment="1" applyProtection="1">
      <alignment horizontal="center" vertical="center" wrapText="1"/>
      <protection locked="0"/>
    </xf>
    <xf numFmtId="0" fontId="5" fillId="0" borderId="0" xfId="2" applyFont="1" applyAlignment="1">
      <alignment horizontal="left" vertical="center"/>
    </xf>
    <xf numFmtId="0" fontId="4" fillId="20" borderId="0" xfId="2" applyFont="1" applyFill="1" applyAlignment="1">
      <alignment horizontal="left" vertical="top"/>
    </xf>
    <xf numFmtId="0" fontId="4" fillId="0" borderId="1" xfId="2" applyFont="1" applyBorder="1" applyAlignment="1" applyProtection="1">
      <alignment horizontal="center" vertical="center"/>
      <protection locked="0"/>
    </xf>
    <xf numFmtId="0" fontId="4" fillId="20" borderId="2" xfId="2" applyFont="1" applyFill="1" applyBorder="1" applyAlignment="1">
      <alignment horizontal="left" vertical="top"/>
    </xf>
    <xf numFmtId="0" fontId="4" fillId="0" borderId="1" xfId="2" applyFont="1" applyBorder="1"/>
    <xf numFmtId="9" fontId="4" fillId="0" borderId="1" xfId="2" applyNumberFormat="1" applyFont="1" applyBorder="1" applyAlignment="1">
      <alignment horizontal="center"/>
    </xf>
    <xf numFmtId="0" fontId="4" fillId="2" borderId="1" xfId="2" applyFont="1" applyFill="1" applyBorder="1" applyAlignment="1">
      <alignment horizontal="center" vertical="center"/>
    </xf>
    <xf numFmtId="0" fontId="4" fillId="21" borderId="1" xfId="2" applyFont="1" applyFill="1" applyBorder="1" applyAlignment="1">
      <alignment horizontal="center" vertical="center"/>
    </xf>
    <xf numFmtId="0" fontId="5" fillId="0" borderId="0" xfId="2" applyFont="1" applyAlignment="1">
      <alignment horizontal="center" vertical="center"/>
    </xf>
    <xf numFmtId="9" fontId="4" fillId="20" borderId="1" xfId="2" applyNumberFormat="1" applyFont="1" applyFill="1" applyBorder="1" applyAlignment="1">
      <alignment horizontal="center" vertical="center"/>
    </xf>
    <xf numFmtId="0" fontId="4" fillId="20" borderId="1" xfId="2" applyFont="1" applyFill="1" applyBorder="1" applyAlignment="1">
      <alignment horizontal="center"/>
    </xf>
    <xf numFmtId="0" fontId="4" fillId="0" borderId="0" xfId="2" applyFont="1" applyAlignment="1">
      <alignment horizontal="left" vertical="center"/>
    </xf>
    <xf numFmtId="171" fontId="3" fillId="0" borderId="0" xfId="2" applyNumberFormat="1" applyAlignment="1">
      <alignment horizontal="left"/>
    </xf>
    <xf numFmtId="0" fontId="3" fillId="0" borderId="0" xfId="2" applyAlignment="1">
      <alignment horizontal="left" vertical="top"/>
    </xf>
    <xf numFmtId="0" fontId="28" fillId="0" borderId="0" xfId="2" applyFont="1" applyAlignment="1">
      <alignment horizontal="center" vertical="center"/>
    </xf>
    <xf numFmtId="49" fontId="8" fillId="0" borderId="0" xfId="2" applyNumberFormat="1" applyFont="1" applyAlignment="1">
      <alignment horizontal="left" vertical="top" wrapText="1"/>
    </xf>
    <xf numFmtId="49" fontId="8" fillId="0" borderId="0" xfId="2" applyNumberFormat="1" applyFont="1" applyAlignment="1">
      <alignment horizontal="left" vertical="top"/>
    </xf>
    <xf numFmtId="0" fontId="29" fillId="0" borderId="0" xfId="2" applyFont="1" applyAlignment="1">
      <alignment horizontal="center" vertical="center"/>
    </xf>
    <xf numFmtId="0" fontId="30" fillId="0" borderId="0" xfId="2" applyFont="1" applyAlignment="1">
      <alignment horizontal="left" vertical="top"/>
    </xf>
    <xf numFmtId="0" fontId="27" fillId="0" borderId="0" xfId="2" applyFont="1" applyAlignment="1">
      <alignment horizontal="left" vertical="top"/>
    </xf>
    <xf numFmtId="0" fontId="29" fillId="0" borderId="0" xfId="2" applyFont="1" applyAlignment="1">
      <alignment vertical="center"/>
    </xf>
    <xf numFmtId="0" fontId="8" fillId="0" borderId="0" xfId="2" applyFont="1" applyAlignment="1">
      <alignment horizontal="left" vertical="top"/>
    </xf>
    <xf numFmtId="0" fontId="8" fillId="0" borderId="0" xfId="2" applyFont="1" applyAlignment="1">
      <alignment horizontal="justify" vertical="top" wrapText="1"/>
    </xf>
    <xf numFmtId="49" fontId="3" fillId="0" borderId="0" xfId="2" applyNumberFormat="1"/>
    <xf numFmtId="0" fontId="8" fillId="0" borderId="0" xfId="2" applyFont="1" applyAlignment="1">
      <alignment horizontal="left" vertical="top" wrapText="1"/>
    </xf>
    <xf numFmtId="0" fontId="8" fillId="0" borderId="0" xfId="2" applyFont="1" applyAlignment="1">
      <alignment horizontal="justify"/>
    </xf>
    <xf numFmtId="0" fontId="31" fillId="0" borderId="1" xfId="2" applyFont="1" applyBorder="1" applyAlignment="1">
      <alignment horizontal="center"/>
    </xf>
    <xf numFmtId="0" fontId="31" fillId="0" borderId="0" xfId="2" applyFont="1" applyAlignment="1">
      <alignment horizontal="center"/>
    </xf>
    <xf numFmtId="0" fontId="32" fillId="0" borderId="0" xfId="2" applyFont="1" applyAlignment="1">
      <alignment horizontal="center"/>
    </xf>
    <xf numFmtId="0" fontId="3" fillId="0" borderId="0" xfId="2" applyAlignment="1">
      <alignment wrapText="1"/>
    </xf>
    <xf numFmtId="0" fontId="3" fillId="0" borderId="0" xfId="2" applyAlignment="1">
      <alignment horizontal="justify" vertical="top" wrapText="1"/>
    </xf>
    <xf numFmtId="0" fontId="8" fillId="0" borderId="0" xfId="2" applyFont="1" applyAlignment="1">
      <alignment horizontal="left" wrapText="1"/>
    </xf>
    <xf numFmtId="0" fontId="8" fillId="0" borderId="0" xfId="2" applyFont="1" applyAlignment="1">
      <alignment horizontal="center" wrapText="1"/>
    </xf>
    <xf numFmtId="0" fontId="8" fillId="0" borderId="0" xfId="2" applyFont="1" applyAlignment="1">
      <alignment wrapText="1"/>
    </xf>
    <xf numFmtId="9" fontId="4" fillId="3" borderId="1" xfId="4" applyFont="1" applyFill="1" applyBorder="1" applyAlignment="1">
      <alignment horizontal="center" vertical="center" wrapText="1"/>
    </xf>
    <xf numFmtId="9" fontId="4" fillId="0" borderId="1" xfId="2" applyNumberFormat="1" applyFont="1" applyBorder="1" applyAlignment="1">
      <alignment horizontal="center" vertical="center" wrapText="1"/>
    </xf>
    <xf numFmtId="9" fontId="4" fillId="3" borderId="7" xfId="4" applyFont="1" applyFill="1" applyBorder="1" applyAlignment="1">
      <alignment horizontal="center" vertical="center" wrapText="1"/>
    </xf>
    <xf numFmtId="14" fontId="4" fillId="7" borderId="1" xfId="0" applyNumberFormat="1" applyFont="1" applyFill="1" applyBorder="1" applyAlignment="1">
      <alignment horizontal="center" vertical="center"/>
    </xf>
    <xf numFmtId="0" fontId="3" fillId="11" borderId="1" xfId="0" applyFont="1" applyFill="1" applyBorder="1" applyAlignment="1">
      <alignment horizontal="center" vertical="center"/>
    </xf>
    <xf numFmtId="0" fontId="0" fillId="11" borderId="1" xfId="0" applyFill="1" applyBorder="1" applyAlignment="1">
      <alignment horizontal="center" vertical="center"/>
    </xf>
    <xf numFmtId="0" fontId="5" fillId="0" borderId="14" xfId="2" applyFont="1" applyBorder="1" applyAlignment="1">
      <alignment vertical="center"/>
    </xf>
    <xf numFmtId="0" fontId="7" fillId="0" borderId="4" xfId="0" applyFont="1" applyBorder="1" applyAlignment="1">
      <alignment vertical="center"/>
    </xf>
    <xf numFmtId="0" fontId="0" fillId="0" borderId="6" xfId="0" applyBorder="1" applyAlignment="1">
      <alignment vertical="center"/>
    </xf>
    <xf numFmtId="0" fontId="4" fillId="17" borderId="9" xfId="0" applyFont="1" applyFill="1" applyBorder="1" applyAlignment="1">
      <alignment horizontal="center" vertical="center"/>
    </xf>
    <xf numFmtId="0" fontId="5" fillId="0" borderId="9" xfId="0" applyFont="1" applyBorder="1" applyAlignment="1">
      <alignment horizontal="left" vertical="center"/>
    </xf>
    <xf numFmtId="0" fontId="5" fillId="0" borderId="4" xfId="0" applyFont="1" applyBorder="1" applyAlignment="1">
      <alignment horizontal="left" vertical="center"/>
    </xf>
    <xf numFmtId="0" fontId="4" fillId="0" borderId="9" xfId="0" applyFont="1" applyBorder="1"/>
    <xf numFmtId="9" fontId="4" fillId="17" borderId="9" xfId="0" applyNumberFormat="1" applyFont="1" applyFill="1" applyBorder="1" applyAlignment="1">
      <alignment horizontal="center" vertical="center"/>
    </xf>
    <xf numFmtId="0" fontId="19" fillId="4" borderId="1" xfId="2" applyFont="1" applyFill="1" applyBorder="1" applyAlignment="1">
      <alignment horizontal="center" vertical="top" wrapText="1"/>
    </xf>
    <xf numFmtId="9" fontId="0" fillId="0" borderId="0" xfId="0" applyNumberFormat="1"/>
    <xf numFmtId="0" fontId="7" fillId="0" borderId="42" xfId="0" applyFont="1" applyBorder="1" applyAlignment="1">
      <alignment horizontal="center"/>
    </xf>
    <xf numFmtId="0" fontId="7" fillId="0" borderId="43" xfId="0" applyFont="1" applyBorder="1" applyAlignment="1">
      <alignment horizontal="center"/>
    </xf>
    <xf numFmtId="0" fontId="7" fillId="0" borderId="44" xfId="0" applyFont="1" applyBorder="1" applyAlignment="1">
      <alignment horizontal="center"/>
    </xf>
    <xf numFmtId="0" fontId="7" fillId="0" borderId="45" xfId="0" applyFont="1" applyBorder="1"/>
    <xf numFmtId="0" fontId="7" fillId="0" borderId="35" xfId="0" applyFont="1" applyBorder="1"/>
    <xf numFmtId="0" fontId="0" fillId="0" borderId="45" xfId="0" applyBorder="1"/>
    <xf numFmtId="9" fontId="0" fillId="0" borderId="35" xfId="0" applyNumberFormat="1" applyBorder="1"/>
    <xf numFmtId="0" fontId="0" fillId="0" borderId="46" xfId="0" applyBorder="1"/>
    <xf numFmtId="0" fontId="0" fillId="0" borderId="31" xfId="0" applyBorder="1"/>
    <xf numFmtId="0" fontId="0" fillId="0" borderId="47" xfId="0" applyBorder="1"/>
    <xf numFmtId="0" fontId="7" fillId="0" borderId="42" xfId="0" applyFont="1" applyBorder="1" applyAlignment="1">
      <alignment horizontal="centerContinuous"/>
    </xf>
    <xf numFmtId="0" fontId="7" fillId="0" borderId="43" xfId="0" applyFont="1" applyBorder="1" applyAlignment="1">
      <alignment horizontal="centerContinuous"/>
    </xf>
    <xf numFmtId="0" fontId="7" fillId="0" borderId="44" xfId="0" applyFont="1" applyBorder="1" applyAlignment="1">
      <alignment horizontal="centerContinuous"/>
    </xf>
    <xf numFmtId="0" fontId="3" fillId="0" borderId="42" xfId="0" applyFont="1" applyBorder="1"/>
    <xf numFmtId="0" fontId="0" fillId="0" borderId="43" xfId="0" applyBorder="1"/>
    <xf numFmtId="0" fontId="0" fillId="0" borderId="44" xfId="0" applyBorder="1"/>
    <xf numFmtId="0" fontId="0" fillId="0" borderId="42" xfId="0" applyBorder="1"/>
    <xf numFmtId="0" fontId="7" fillId="0" borderId="43" xfId="0" applyFont="1" applyBorder="1"/>
    <xf numFmtId="0" fontId="3" fillId="0" borderId="45" xfId="0" applyFont="1" applyBorder="1"/>
    <xf numFmtId="0" fontId="3" fillId="0" borderId="35" xfId="0" applyFont="1" applyBorder="1"/>
    <xf numFmtId="0" fontId="3" fillId="0" borderId="43" xfId="0" applyFont="1" applyBorder="1"/>
    <xf numFmtId="0" fontId="4" fillId="0" borderId="0" xfId="0" applyFont="1" applyAlignment="1">
      <alignment horizontal="center" vertical="center" wrapText="1"/>
    </xf>
    <xf numFmtId="9" fontId="4" fillId="0" borderId="0" xfId="0" applyNumberFormat="1" applyFont="1" applyAlignment="1">
      <alignment horizontal="center" vertical="center"/>
    </xf>
    <xf numFmtId="166" fontId="4" fillId="0" borderId="0" xfId="0" applyNumberFormat="1" applyFont="1" applyAlignment="1">
      <alignment horizontal="center"/>
    </xf>
    <xf numFmtId="168" fontId="0" fillId="0" borderId="45" xfId="0" applyNumberFormat="1" applyBorder="1"/>
    <xf numFmtId="168" fontId="0" fillId="0" borderId="46" xfId="0" applyNumberFormat="1" applyBorder="1"/>
    <xf numFmtId="0" fontId="3" fillId="0" borderId="34" xfId="0" applyFont="1" applyBorder="1"/>
    <xf numFmtId="0" fontId="3" fillId="0" borderId="48" xfId="0" applyFont="1" applyBorder="1"/>
    <xf numFmtId="0" fontId="0" fillId="0" borderId="34" xfId="0" applyBorder="1"/>
    <xf numFmtId="0" fontId="0" fillId="0" borderId="48" xfId="0" applyBorder="1"/>
    <xf numFmtId="0" fontId="0" fillId="0" borderId="36" xfId="0" applyBorder="1"/>
    <xf numFmtId="0" fontId="0" fillId="0" borderId="37" xfId="0" applyBorder="1"/>
    <xf numFmtId="0" fontId="0" fillId="0" borderId="49" xfId="0" applyBorder="1"/>
    <xf numFmtId="0" fontId="3" fillId="0" borderId="0" xfId="0" applyFont="1" applyAlignment="1">
      <alignment vertical="top" wrapText="1"/>
    </xf>
    <xf numFmtId="0" fontId="0" fillId="0" borderId="11" xfId="0" applyBorder="1" applyAlignment="1">
      <alignment horizontal="left" vertical="top" wrapText="1"/>
    </xf>
    <xf numFmtId="0" fontId="0" fillId="0" borderId="3" xfId="0" applyBorder="1" applyAlignment="1">
      <alignment horizontal="left" vertical="top" wrapText="1"/>
    </xf>
    <xf numFmtId="0" fontId="4" fillId="0" borderId="10" xfId="0" applyFont="1" applyBorder="1" applyAlignment="1" applyProtection="1">
      <alignment horizontal="left" vertical="top" wrapText="1"/>
      <protection locked="0"/>
    </xf>
    <xf numFmtId="0" fontId="9" fillId="0" borderId="3" xfId="0" applyFont="1" applyBorder="1" applyAlignment="1">
      <alignment horizontal="left" vertical="top" wrapText="1"/>
    </xf>
    <xf numFmtId="0" fontId="0" fillId="0" borderId="4" xfId="0" applyBorder="1" applyAlignment="1">
      <alignment horizontal="left" vertical="top" wrapText="1"/>
    </xf>
    <xf numFmtId="0" fontId="4" fillId="0" borderId="3" xfId="0" applyFont="1" applyBorder="1" applyAlignment="1" applyProtection="1">
      <alignment horizontal="left" vertical="top" wrapText="1"/>
      <protection locked="0"/>
    </xf>
    <xf numFmtId="0" fontId="4" fillId="0" borderId="3" xfId="0" applyFont="1" applyBorder="1" applyAlignment="1">
      <alignment horizontal="left" vertical="top" wrapText="1"/>
    </xf>
    <xf numFmtId="0" fontId="5" fillId="0" borderId="3" xfId="0" applyFont="1" applyBorder="1" applyAlignment="1">
      <alignment horizontal="left" vertical="top" wrapText="1"/>
    </xf>
    <xf numFmtId="0" fontId="5" fillId="0" borderId="10" xfId="0" applyFont="1" applyBorder="1" applyAlignment="1">
      <alignment horizontal="left" wrapText="1"/>
    </xf>
    <xf numFmtId="1" fontId="0" fillId="0" borderId="1" xfId="0" applyNumberFormat="1" applyBorder="1"/>
    <xf numFmtId="14" fontId="0" fillId="0" borderId="1" xfId="0" applyNumberFormat="1" applyBorder="1"/>
    <xf numFmtId="0" fontId="5" fillId="6" borderId="0" xfId="0" applyFont="1" applyFill="1" applyAlignment="1">
      <alignment horizontal="center" vertical="center"/>
    </xf>
    <xf numFmtId="0" fontId="5" fillId="0" borderId="0" xfId="0" applyFont="1" applyAlignment="1">
      <alignment horizontal="left" wrapText="1"/>
    </xf>
    <xf numFmtId="0" fontId="0" fillId="0" borderId="53" xfId="0" applyBorder="1"/>
    <xf numFmtId="10" fontId="0" fillId="0" borderId="0" xfId="0" applyNumberFormat="1"/>
    <xf numFmtId="0" fontId="0" fillId="7" borderId="3" xfId="0" applyFill="1" applyBorder="1" applyAlignment="1">
      <alignment horizontal="left" vertical="center" wrapText="1"/>
    </xf>
    <xf numFmtId="3" fontId="0" fillId="7" borderId="3" xfId="0" applyNumberFormat="1" applyFill="1" applyBorder="1" applyAlignment="1">
      <alignment horizontal="left" vertical="center" wrapText="1"/>
    </xf>
    <xf numFmtId="0" fontId="0" fillId="0" borderId="1" xfId="0" applyBorder="1" applyAlignment="1">
      <alignment horizontal="left" vertical="top"/>
    </xf>
    <xf numFmtId="0" fontId="0" fillId="0" borderId="1" xfId="0" applyBorder="1" applyAlignment="1">
      <alignment vertical="top"/>
    </xf>
    <xf numFmtId="0" fontId="5" fillId="0" borderId="0" xfId="0" applyFont="1" applyAlignment="1">
      <alignment horizontal="center" vertical="center"/>
    </xf>
    <xf numFmtId="0" fontId="8" fillId="0" borderId="0" xfId="0" applyFont="1"/>
    <xf numFmtId="0" fontId="4" fillId="0" borderId="0" xfId="2" applyFont="1" applyAlignment="1">
      <alignment horizontal="center"/>
    </xf>
    <xf numFmtId="9" fontId="4" fillId="0" borderId="0" xfId="2" applyNumberFormat="1" applyFont="1" applyAlignment="1">
      <alignment horizontal="center"/>
    </xf>
    <xf numFmtId="0" fontId="4" fillId="0" borderId="1" xfId="0" applyFont="1" applyBorder="1"/>
    <xf numFmtId="0" fontId="0" fillId="0" borderId="1" xfId="0" applyBorder="1" applyAlignment="1">
      <alignment horizontal="left"/>
    </xf>
    <xf numFmtId="0" fontId="3" fillId="0" borderId="0" xfId="2" applyAlignment="1">
      <alignment horizontal="center" vertical="center" wrapText="1"/>
    </xf>
    <xf numFmtId="0" fontId="27" fillId="19" borderId="2" xfId="2" applyFont="1" applyFill="1" applyBorder="1" applyAlignment="1">
      <alignment horizontal="center" vertical="center" wrapText="1"/>
    </xf>
    <xf numFmtId="2" fontId="8" fillId="0" borderId="1" xfId="2" applyNumberFormat="1" applyFont="1" applyBorder="1" applyAlignment="1">
      <alignment horizontal="center" vertical="center"/>
    </xf>
    <xf numFmtId="0" fontId="3" fillId="0" borderId="1" xfId="2" applyBorder="1"/>
    <xf numFmtId="9" fontId="8" fillId="0" borderId="0" xfId="2" applyNumberFormat="1" applyFont="1" applyAlignment="1">
      <alignment horizontal="center" vertical="center"/>
    </xf>
    <xf numFmtId="0" fontId="3" fillId="0" borderId="1" xfId="2" applyBorder="1" applyAlignment="1">
      <alignment horizontal="center" vertical="center"/>
    </xf>
    <xf numFmtId="9" fontId="3" fillId="0" borderId="1" xfId="2" applyNumberFormat="1" applyBorder="1" applyAlignment="1">
      <alignment horizontal="center" vertical="center"/>
    </xf>
    <xf numFmtId="0" fontId="3" fillId="0" borderId="9" xfId="2" applyBorder="1"/>
    <xf numFmtId="0" fontId="3" fillId="0" borderId="2" xfId="2" applyBorder="1"/>
    <xf numFmtId="0" fontId="27" fillId="0" borderId="0" xfId="2" applyFont="1" applyAlignment="1">
      <alignment horizontal="center" vertical="center" wrapText="1"/>
    </xf>
    <xf numFmtId="0" fontId="27" fillId="0" borderId="0" xfId="2" applyFont="1" applyAlignment="1">
      <alignment horizontal="center" vertical="center"/>
    </xf>
    <xf numFmtId="9" fontId="3" fillId="0" borderId="0" xfId="2" applyNumberFormat="1" applyAlignment="1">
      <alignment horizontal="center" vertical="center"/>
    </xf>
    <xf numFmtId="0" fontId="27" fillId="0" borderId="1" xfId="2" applyFont="1" applyBorder="1" applyAlignment="1">
      <alignment horizontal="center" vertical="center" textRotation="90" wrapText="1"/>
    </xf>
    <xf numFmtId="0" fontId="27" fillId="0" borderId="1" xfId="2" applyFont="1" applyBorder="1" applyAlignment="1">
      <alignment horizontal="left" vertical="center" textRotation="90" wrapText="1"/>
    </xf>
    <xf numFmtId="49" fontId="27" fillId="0" borderId="1" xfId="2" applyNumberFormat="1" applyFont="1" applyBorder="1" applyAlignment="1">
      <alignment horizontal="center" vertical="center" textRotation="90" wrapText="1"/>
    </xf>
    <xf numFmtId="0" fontId="7" fillId="0" borderId="1" xfId="2" applyFont="1" applyBorder="1" applyAlignment="1">
      <alignment horizontal="center" vertical="center" textRotation="90" wrapText="1"/>
    </xf>
    <xf numFmtId="0" fontId="7" fillId="0" borderId="0" xfId="2" applyFont="1" applyAlignment="1">
      <alignment horizontal="center" vertical="center" textRotation="90" wrapText="1"/>
    </xf>
    <xf numFmtId="14" fontId="3" fillId="0" borderId="1" xfId="2" applyNumberFormat="1" applyBorder="1"/>
    <xf numFmtId="20" fontId="3" fillId="0" borderId="1" xfId="2" applyNumberFormat="1" applyBorder="1"/>
    <xf numFmtId="168" fontId="3" fillId="0" borderId="1" xfId="2" applyNumberFormat="1" applyBorder="1"/>
    <xf numFmtId="168" fontId="3" fillId="0" borderId="0" xfId="2" applyNumberFormat="1"/>
    <xf numFmtId="0" fontId="7" fillId="0" borderId="0" xfId="2" applyFont="1"/>
    <xf numFmtId="0" fontId="7" fillId="0" borderId="0" xfId="2" applyFont="1" applyAlignment="1">
      <alignment horizontal="center"/>
    </xf>
    <xf numFmtId="0" fontId="39" fillId="0" borderId="0" xfId="0" applyFont="1" applyAlignment="1">
      <alignment vertical="center" wrapText="1"/>
    </xf>
    <xf numFmtId="0" fontId="32" fillId="0" borderId="0" xfId="0" applyFont="1" applyAlignment="1">
      <alignment vertical="center"/>
    </xf>
    <xf numFmtId="0" fontId="39" fillId="0" borderId="0" xfId="0" applyFont="1" applyAlignment="1">
      <alignment vertical="center"/>
    </xf>
    <xf numFmtId="0" fontId="4" fillId="0" borderId="2" xfId="0" applyFont="1" applyBorder="1" applyAlignment="1">
      <alignment horizontal="center" vertical="center"/>
    </xf>
    <xf numFmtId="0" fontId="6" fillId="0" borderId="3" xfId="0" applyFont="1" applyBorder="1" applyAlignment="1">
      <alignment horizontal="center" vertical="center" wrapText="1"/>
    </xf>
    <xf numFmtId="0" fontId="23" fillId="10" borderId="1" xfId="0" applyFont="1" applyFill="1" applyBorder="1" applyAlignment="1">
      <alignment horizontal="center" vertical="center"/>
    </xf>
    <xf numFmtId="0" fontId="23" fillId="10"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0" fillId="9" borderId="1" xfId="0" applyFill="1" applyBorder="1" applyAlignment="1">
      <alignment horizontal="center"/>
    </xf>
    <xf numFmtId="9" fontId="0" fillId="9" borderId="1" xfId="0" applyNumberFormat="1" applyFill="1" applyBorder="1" applyAlignment="1">
      <alignment horizontal="center"/>
    </xf>
    <xf numFmtId="0" fontId="0" fillId="0" borderId="1" xfId="0" applyBorder="1" applyAlignment="1">
      <alignment horizontal="center" wrapText="1"/>
    </xf>
    <xf numFmtId="9" fontId="0" fillId="0" borderId="1" xfId="0" applyNumberFormat="1" applyBorder="1" applyAlignment="1">
      <alignment horizontal="center" vertical="center"/>
    </xf>
    <xf numFmtId="0" fontId="3" fillId="9" borderId="1" xfId="0" applyFont="1" applyFill="1" applyBorder="1"/>
    <xf numFmtId="9" fontId="0" fillId="9" borderId="1" xfId="0" applyNumberFormat="1" applyFill="1" applyBorder="1" applyAlignment="1">
      <alignment horizontal="center" vertical="center"/>
    </xf>
    <xf numFmtId="0" fontId="5" fillId="3" borderId="9" xfId="0" applyFont="1" applyFill="1" applyBorder="1" applyAlignment="1">
      <alignment horizontal="center" vertical="top"/>
    </xf>
    <xf numFmtId="9" fontId="4" fillId="3" borderId="9" xfId="4" applyFont="1" applyFill="1" applyBorder="1" applyAlignment="1">
      <alignment horizontal="center" vertical="center" wrapText="1"/>
    </xf>
    <xf numFmtId="0" fontId="5" fillId="8" borderId="3" xfId="0" applyFont="1" applyFill="1" applyBorder="1" applyAlignment="1">
      <alignment horizontal="right" vertical="center"/>
    </xf>
    <xf numFmtId="0" fontId="0" fillId="0" borderId="1" xfId="0" pivotButton="1" applyBorder="1" applyAlignment="1">
      <alignment horizontal="left" vertical="top" wrapText="1"/>
    </xf>
    <xf numFmtId="14" fontId="0" fillId="0" borderId="1" xfId="0" pivotButton="1" applyNumberFormat="1" applyBorder="1" applyAlignment="1">
      <alignment horizontal="left" vertical="top" wrapText="1"/>
    </xf>
    <xf numFmtId="0" fontId="0" fillId="0" borderId="1" xfId="0" pivotButton="1" applyBorder="1" applyAlignment="1">
      <alignment horizontal="left" vertical="top"/>
    </xf>
    <xf numFmtId="0" fontId="5" fillId="0" borderId="2" xfId="0" applyFont="1" applyBorder="1" applyAlignment="1">
      <alignment vertical="top"/>
    </xf>
    <xf numFmtId="0" fontId="4" fillId="0" borderId="10" xfId="0" applyFont="1" applyBorder="1" applyAlignment="1">
      <alignment vertical="top"/>
    </xf>
    <xf numFmtId="9" fontId="0" fillId="0" borderId="0" xfId="0" quotePrefix="1" applyNumberFormat="1"/>
    <xf numFmtId="9" fontId="7" fillId="13" borderId="1" xfId="2" applyNumberFormat="1" applyFont="1" applyFill="1" applyBorder="1" applyAlignment="1">
      <alignment horizontal="center" textRotation="90" wrapText="1"/>
    </xf>
    <xf numFmtId="2" fontId="7" fillId="13" borderId="1" xfId="2" applyNumberFormat="1" applyFont="1" applyFill="1" applyBorder="1" applyAlignment="1">
      <alignment horizontal="center" textRotation="90" wrapText="1"/>
    </xf>
    <xf numFmtId="1" fontId="7" fillId="13" borderId="1" xfId="2" applyNumberFormat="1" applyFont="1" applyFill="1" applyBorder="1" applyAlignment="1">
      <alignment horizontal="center" textRotation="90" wrapText="1"/>
    </xf>
    <xf numFmtId="0" fontId="41" fillId="22" borderId="1" xfId="6" applyFont="1" applyFill="1" applyBorder="1" applyAlignment="1">
      <alignment horizontal="center" textRotation="90" wrapText="1"/>
    </xf>
    <xf numFmtId="9" fontId="41" fillId="23" borderId="1" xfId="6" applyNumberFormat="1" applyFont="1" applyFill="1" applyBorder="1" applyAlignment="1">
      <alignment horizontal="center" textRotation="90" wrapText="1"/>
    </xf>
    <xf numFmtId="9" fontId="7" fillId="24" borderId="1" xfId="2" applyNumberFormat="1" applyFont="1" applyFill="1" applyBorder="1" applyAlignment="1" applyProtection="1">
      <alignment horizontal="center" vertical="center" textRotation="90" wrapText="1"/>
      <protection locked="0"/>
    </xf>
    <xf numFmtId="9" fontId="7" fillId="24" borderId="2" xfId="2" applyNumberFormat="1" applyFont="1" applyFill="1" applyBorder="1" applyAlignment="1" applyProtection="1">
      <alignment horizontal="center" vertical="center" textRotation="90" wrapText="1"/>
      <protection locked="0"/>
    </xf>
    <xf numFmtId="9" fontId="3" fillId="0" borderId="0" xfId="2" applyNumberFormat="1"/>
    <xf numFmtId="3" fontId="3" fillId="0" borderId="0" xfId="2" applyNumberFormat="1"/>
    <xf numFmtId="0" fontId="42" fillId="0" borderId="55" xfId="7" applyFont="1" applyBorder="1" applyAlignment="1">
      <alignment wrapText="1"/>
    </xf>
    <xf numFmtId="0" fontId="40" fillId="0" borderId="0" xfId="7"/>
    <xf numFmtId="0" fontId="42" fillId="0" borderId="55" xfId="7" applyFont="1" applyBorder="1" applyAlignment="1">
      <alignment horizontal="right" wrapText="1"/>
    </xf>
    <xf numFmtId="0" fontId="42" fillId="25" borderId="54" xfId="7" applyFont="1" applyFill="1" applyBorder="1" applyAlignment="1">
      <alignment horizontal="center" wrapText="1"/>
    </xf>
    <xf numFmtId="169" fontId="40" fillId="0" borderId="0" xfId="7" applyNumberFormat="1"/>
    <xf numFmtId="3" fontId="42" fillId="0" borderId="55" xfId="7" applyNumberFormat="1" applyFont="1" applyBorder="1" applyAlignment="1">
      <alignment wrapText="1"/>
    </xf>
    <xf numFmtId="3" fontId="40" fillId="0" borderId="0" xfId="7" applyNumberFormat="1"/>
    <xf numFmtId="0" fontId="4" fillId="0" borderId="1" xfId="0" applyFont="1" applyBorder="1" applyAlignment="1">
      <alignment horizontal="center" vertical="center" wrapText="1"/>
    </xf>
    <xf numFmtId="0" fontId="5" fillId="8" borderId="0" xfId="0" applyFont="1" applyFill="1" applyAlignment="1">
      <alignment horizontal="center"/>
    </xf>
    <xf numFmtId="0" fontId="0" fillId="0" borderId="1" xfId="0" applyBorder="1" applyAlignment="1">
      <alignment horizontal="center" vertical="center" wrapText="1"/>
    </xf>
    <xf numFmtId="0" fontId="7" fillId="0" borderId="50" xfId="0" applyFont="1" applyBorder="1" applyAlignment="1">
      <alignment vertical="top" wrapText="1"/>
    </xf>
    <xf numFmtId="0" fontId="7" fillId="0" borderId="51" xfId="0" applyFont="1" applyBorder="1"/>
    <xf numFmtId="0" fontId="7" fillId="0" borderId="52" xfId="0" applyFont="1" applyBorder="1"/>
    <xf numFmtId="0" fontId="5" fillId="8" borderId="5" xfId="0" applyFont="1" applyFill="1" applyBorder="1" applyAlignment="1">
      <alignment horizontal="center"/>
    </xf>
    <xf numFmtId="0" fontId="0" fillId="0" borderId="0" xfId="0"/>
    <xf numFmtId="0" fontId="8" fillId="0" borderId="1" xfId="0" applyFont="1" applyBorder="1" applyAlignment="1">
      <alignment horizontal="center"/>
    </xf>
    <xf numFmtId="0" fontId="0" fillId="0" borderId="1" xfId="0" applyBorder="1" applyAlignment="1">
      <alignment horizontal="center"/>
    </xf>
    <xf numFmtId="0" fontId="4" fillId="0" borderId="1" xfId="0" applyFont="1" applyBorder="1" applyAlignment="1">
      <alignment horizontal="center" vertical="center"/>
    </xf>
    <xf numFmtId="0" fontId="0" fillId="0" borderId="1" xfId="0" applyBorder="1" applyAlignment="1">
      <alignment horizontal="center" vertical="center"/>
    </xf>
    <xf numFmtId="0" fontId="4" fillId="0" borderId="2" xfId="0" applyFont="1" applyBorder="1" applyAlignment="1">
      <alignment horizontal="center" vertical="center" wrapText="1"/>
    </xf>
    <xf numFmtId="0" fontId="0" fillId="0" borderId="3" xfId="0" applyBorder="1" applyAlignment="1">
      <alignment horizontal="center" vertical="center" wrapText="1"/>
    </xf>
    <xf numFmtId="0" fontId="4" fillId="0" borderId="19" xfId="0" applyFont="1" applyBorder="1" applyAlignment="1">
      <alignment vertical="top" wrapText="1"/>
    </xf>
    <xf numFmtId="0" fontId="4" fillId="0" borderId="20" xfId="0" applyFont="1" applyBorder="1" applyAlignment="1">
      <alignment vertical="top" wrapText="1"/>
    </xf>
    <xf numFmtId="0" fontId="4" fillId="0" borderId="21" xfId="0" applyFont="1" applyBorder="1" applyAlignment="1">
      <alignment vertical="top" wrapText="1"/>
    </xf>
    <xf numFmtId="9" fontId="4" fillId="7" borderId="1" xfId="0" applyNumberFormat="1" applyFont="1" applyFill="1" applyBorder="1" applyAlignment="1">
      <alignment horizontal="center" vertical="center"/>
    </xf>
    <xf numFmtId="0" fontId="4" fillId="0" borderId="2" xfId="2" applyFont="1" applyBorder="1" applyAlignment="1">
      <alignment vertical="top" wrapText="1"/>
    </xf>
    <xf numFmtId="0" fontId="4" fillId="0" borderId="10" xfId="2" applyFont="1" applyBorder="1" applyAlignment="1">
      <alignment vertical="top" wrapText="1"/>
    </xf>
    <xf numFmtId="0" fontId="4" fillId="0" borderId="3" xfId="2" applyFont="1" applyBorder="1" applyAlignment="1">
      <alignment vertical="top" wrapText="1"/>
    </xf>
    <xf numFmtId="0" fontId="5" fillId="3" borderId="16" xfId="0" applyFont="1" applyFill="1" applyBorder="1" applyAlignment="1">
      <alignment horizontal="center" vertical="top" wrapText="1"/>
    </xf>
    <xf numFmtId="0" fontId="5" fillId="3" borderId="17" xfId="0" applyFont="1" applyFill="1" applyBorder="1" applyAlignment="1">
      <alignment horizontal="center" vertical="top" wrapText="1"/>
    </xf>
    <xf numFmtId="0" fontId="5" fillId="3" borderId="18" xfId="0" applyFont="1" applyFill="1" applyBorder="1" applyAlignment="1">
      <alignment horizontal="center" vertical="top" wrapText="1"/>
    </xf>
    <xf numFmtId="0" fontId="12" fillId="0" borderId="2" xfId="2" applyFont="1" applyBorder="1" applyAlignment="1">
      <alignment vertical="top" wrapText="1"/>
    </xf>
    <xf numFmtId="0" fontId="12" fillId="0" borderId="10" xfId="2" applyFont="1" applyBorder="1" applyAlignment="1">
      <alignment vertical="top" wrapText="1"/>
    </xf>
    <xf numFmtId="0" fontId="12" fillId="0" borderId="3" xfId="2" applyFont="1" applyBorder="1" applyAlignment="1">
      <alignment vertical="top" wrapText="1"/>
    </xf>
    <xf numFmtId="0" fontId="5" fillId="3" borderId="2" xfId="0" applyFont="1" applyFill="1" applyBorder="1" applyAlignment="1">
      <alignment horizontal="center" vertical="top" wrapText="1"/>
    </xf>
    <xf numFmtId="0" fontId="5" fillId="3" borderId="10" xfId="0" applyFont="1" applyFill="1" applyBorder="1" applyAlignment="1">
      <alignment horizontal="center" vertical="top" wrapText="1"/>
    </xf>
    <xf numFmtId="0" fontId="5" fillId="3" borderId="3" xfId="0" applyFont="1" applyFill="1" applyBorder="1" applyAlignment="1">
      <alignment horizontal="center" vertical="top" wrapText="1"/>
    </xf>
    <xf numFmtId="0" fontId="5" fillId="0" borderId="2" xfId="2" applyFont="1" applyBorder="1" applyAlignment="1">
      <alignment vertical="top" wrapText="1"/>
    </xf>
    <xf numFmtId="0" fontId="5" fillId="0" borderId="10" xfId="2" applyFont="1" applyBorder="1" applyAlignment="1">
      <alignment vertical="top" wrapText="1"/>
    </xf>
    <xf numFmtId="0" fontId="5" fillId="0" borderId="3" xfId="2" applyFont="1" applyBorder="1" applyAlignment="1">
      <alignment vertical="top" wrapText="1"/>
    </xf>
    <xf numFmtId="0" fontId="4" fillId="0" borderId="10" xfId="0" applyFont="1" applyBorder="1" applyAlignment="1">
      <alignment vertical="top" wrapText="1"/>
    </xf>
    <xf numFmtId="0" fontId="4" fillId="0" borderId="3" xfId="0" applyFont="1" applyBorder="1" applyAlignment="1">
      <alignment vertical="top" wrapText="1"/>
    </xf>
    <xf numFmtId="0" fontId="4" fillId="0" borderId="1" xfId="0" applyFont="1" applyBorder="1" applyAlignment="1">
      <alignment horizontal="left" wrapText="1"/>
    </xf>
    <xf numFmtId="0" fontId="4" fillId="7" borderId="1" xfId="0" applyFont="1" applyFill="1" applyBorder="1" applyAlignment="1">
      <alignment horizontal="center" vertical="center"/>
    </xf>
    <xf numFmtId="0" fontId="4" fillId="0" borderId="0" xfId="0" applyFont="1" applyAlignment="1">
      <alignment wrapText="1"/>
    </xf>
    <xf numFmtId="0" fontId="4" fillId="0" borderId="13" xfId="0" applyFont="1" applyBorder="1" applyAlignment="1">
      <alignment wrapText="1"/>
    </xf>
    <xf numFmtId="0" fontId="5" fillId="3" borderId="2" xfId="0" applyFont="1" applyFill="1" applyBorder="1" applyAlignment="1" applyProtection="1">
      <alignment horizontal="center" vertical="top" wrapText="1"/>
      <protection locked="0"/>
    </xf>
    <xf numFmtId="0" fontId="5" fillId="3" borderId="10" xfId="0" applyFont="1" applyFill="1" applyBorder="1" applyAlignment="1" applyProtection="1">
      <alignment horizontal="center" vertical="top" wrapText="1"/>
      <protection locked="0"/>
    </xf>
    <xf numFmtId="0" fontId="5" fillId="3" borderId="3" xfId="0" applyFont="1" applyFill="1" applyBorder="1" applyAlignment="1" applyProtection="1">
      <alignment horizontal="center" vertical="top" wrapText="1"/>
      <protection locked="0"/>
    </xf>
    <xf numFmtId="0" fontId="4" fillId="0" borderId="2" xfId="0" applyFont="1" applyBorder="1" applyAlignment="1">
      <alignment horizontal="left" vertical="top" wrapText="1"/>
    </xf>
    <xf numFmtId="0" fontId="0" fillId="0" borderId="10" xfId="0" applyBorder="1" applyAlignment="1">
      <alignment horizontal="left" vertical="top" wrapText="1"/>
    </xf>
    <xf numFmtId="0" fontId="0" fillId="0" borderId="3" xfId="0" applyBorder="1" applyAlignment="1">
      <alignment horizontal="left" vertical="top" wrapText="1"/>
    </xf>
    <xf numFmtId="0" fontId="5" fillId="3" borderId="14" xfId="0" applyFont="1" applyFill="1" applyBorder="1" applyAlignment="1">
      <alignment horizontal="center" vertical="top" wrapText="1"/>
    </xf>
    <xf numFmtId="0" fontId="5" fillId="3" borderId="4" xfId="0" applyFont="1" applyFill="1" applyBorder="1" applyAlignment="1">
      <alignment horizontal="center" vertical="top" wrapText="1"/>
    </xf>
    <xf numFmtId="0" fontId="5" fillId="3" borderId="6" xfId="0" applyFont="1" applyFill="1" applyBorder="1" applyAlignment="1">
      <alignment horizontal="center" vertical="top" wrapText="1"/>
    </xf>
    <xf numFmtId="0" fontId="4" fillId="11" borderId="8" xfId="0" applyFont="1" applyFill="1" applyBorder="1" applyAlignment="1" applyProtection="1">
      <alignment horizontal="left" vertical="top" wrapText="1"/>
      <protection locked="0"/>
    </xf>
    <xf numFmtId="0" fontId="4" fillId="11" borderId="11" xfId="0" applyFont="1" applyFill="1" applyBorder="1" applyAlignment="1" applyProtection="1">
      <alignment horizontal="left" vertical="top" wrapText="1"/>
      <protection locked="0"/>
    </xf>
    <xf numFmtId="0" fontId="0" fillId="0" borderId="11" xfId="0" applyBorder="1"/>
    <xf numFmtId="0" fontId="7" fillId="0" borderId="2" xfId="2" applyFont="1" applyBorder="1" applyAlignment="1">
      <alignment horizontal="left" vertical="top" wrapText="1"/>
    </xf>
    <xf numFmtId="0" fontId="7" fillId="0" borderId="3" xfId="0" applyFont="1" applyBorder="1" applyAlignment="1">
      <alignment horizontal="left" vertical="top" wrapText="1"/>
    </xf>
    <xf numFmtId="0" fontId="7" fillId="0" borderId="2" xfId="0" applyFont="1" applyBorder="1" applyAlignment="1">
      <alignment vertical="top" wrapText="1"/>
    </xf>
    <xf numFmtId="0" fontId="7" fillId="0" borderId="3" xfId="0" applyFont="1" applyBorder="1" applyAlignment="1">
      <alignment vertical="top" wrapText="1"/>
    </xf>
    <xf numFmtId="0" fontId="7" fillId="0" borderId="2" xfId="0" applyFont="1" applyBorder="1" applyAlignment="1">
      <alignment horizontal="left" vertical="top" wrapText="1"/>
    </xf>
    <xf numFmtId="0" fontId="4" fillId="0" borderId="0" xfId="0" applyFont="1"/>
    <xf numFmtId="0" fontId="4" fillId="0" borderId="13" xfId="0" applyFont="1" applyBorder="1"/>
    <xf numFmtId="0" fontId="4" fillId="0" borderId="2" xfId="0" applyFont="1" applyBorder="1" applyAlignment="1">
      <alignment horizontal="left" wrapText="1"/>
    </xf>
    <xf numFmtId="0" fontId="0" fillId="0" borderId="10" xfId="0" applyBorder="1" applyAlignment="1">
      <alignment horizontal="left" wrapText="1"/>
    </xf>
    <xf numFmtId="0" fontId="0" fillId="0" borderId="3" xfId="0" applyBorder="1" applyAlignment="1">
      <alignment horizontal="left" wrapText="1"/>
    </xf>
    <xf numFmtId="0" fontId="5" fillId="0" borderId="2" xfId="0" applyFont="1" applyBorder="1" applyAlignment="1">
      <alignment horizontal="left" vertical="center" wrapText="1"/>
    </xf>
    <xf numFmtId="0" fontId="7" fillId="0" borderId="10" xfId="0" applyFont="1" applyBorder="1" applyAlignment="1">
      <alignment horizontal="left" vertical="center"/>
    </xf>
    <xf numFmtId="0" fontId="5" fillId="0" borderId="2" xfId="0" applyFont="1" applyBorder="1" applyAlignment="1">
      <alignment vertical="top" wrapText="1"/>
    </xf>
    <xf numFmtId="0" fontId="7" fillId="0" borderId="10" xfId="0" applyFont="1" applyBorder="1"/>
    <xf numFmtId="0" fontId="5" fillId="0" borderId="2" xfId="0" applyFont="1" applyBorder="1" applyAlignment="1">
      <alignment vertical="center" wrapText="1"/>
    </xf>
    <xf numFmtId="0" fontId="7" fillId="0" borderId="10" xfId="0" applyFont="1" applyBorder="1" applyAlignment="1">
      <alignment vertical="center"/>
    </xf>
    <xf numFmtId="0" fontId="4" fillId="0" borderId="1" xfId="0" applyFont="1" applyBorder="1" applyAlignment="1">
      <alignment wrapText="1"/>
    </xf>
    <xf numFmtId="0" fontId="0" fillId="0" borderId="1" xfId="0" applyBorder="1" applyAlignment="1">
      <alignment wrapText="1"/>
    </xf>
    <xf numFmtId="168" fontId="4" fillId="7" borderId="1" xfId="0" applyNumberFormat="1" applyFont="1" applyFill="1" applyBorder="1" applyAlignment="1">
      <alignment horizontal="center"/>
    </xf>
    <xf numFmtId="0" fontId="4" fillId="0" borderId="0" xfId="0" applyFont="1" applyAlignment="1">
      <alignment vertical="top" wrapText="1"/>
    </xf>
    <xf numFmtId="0" fontId="4" fillId="11" borderId="11" xfId="0" applyFont="1" applyFill="1" applyBorder="1" applyAlignment="1">
      <alignment vertical="top" wrapText="1"/>
    </xf>
    <xf numFmtId="0" fontId="0" fillId="11" borderId="11" xfId="0" applyFill="1" applyBorder="1"/>
    <xf numFmtId="0" fontId="4" fillId="11" borderId="11" xfId="0" applyFont="1" applyFill="1" applyBorder="1" applyAlignment="1" applyProtection="1">
      <alignment horizontal="left" vertical="top"/>
      <protection locked="0"/>
    </xf>
    <xf numFmtId="0" fontId="4" fillId="0" borderId="1" xfId="0" applyFont="1" applyBorder="1" applyAlignment="1">
      <alignment horizontal="left"/>
    </xf>
    <xf numFmtId="0" fontId="4" fillId="7" borderId="1" xfId="0" applyFont="1" applyFill="1" applyBorder="1" applyAlignment="1">
      <alignment horizontal="center"/>
    </xf>
    <xf numFmtId="3" fontId="4" fillId="7" borderId="1" xfId="0" applyNumberFormat="1" applyFont="1" applyFill="1" applyBorder="1" applyAlignment="1">
      <alignment horizontal="center"/>
    </xf>
    <xf numFmtId="9" fontId="4" fillId="7" borderId="1" xfId="4" applyFont="1" applyFill="1" applyBorder="1" applyAlignment="1">
      <alignment horizontal="center"/>
    </xf>
    <xf numFmtId="0" fontId="0" fillId="0" borderId="0" xfId="0" applyAlignment="1">
      <alignment horizontal="left" vertical="top" wrapText="1"/>
    </xf>
    <xf numFmtId="0" fontId="5" fillId="8" borderId="0" xfId="0" applyFont="1" applyFill="1" applyAlignment="1">
      <alignment horizontal="center" vertical="top"/>
    </xf>
    <xf numFmtId="0" fontId="4" fillId="0" borderId="5" xfId="0" applyFont="1" applyBorder="1" applyAlignment="1">
      <alignment horizontal="left" vertical="top"/>
    </xf>
    <xf numFmtId="0" fontId="4" fillId="0" borderId="0" xfId="0" applyFont="1" applyAlignment="1">
      <alignment horizontal="left" vertical="top"/>
    </xf>
    <xf numFmtId="0" fontId="0" fillId="0" borderId="13" xfId="0" applyBorder="1" applyAlignment="1">
      <alignment vertical="top"/>
    </xf>
    <xf numFmtId="169" fontId="4" fillId="7" borderId="1" xfId="0" applyNumberFormat="1" applyFont="1" applyFill="1" applyBorder="1" applyAlignment="1">
      <alignment horizontal="left" vertical="center"/>
    </xf>
    <xf numFmtId="0" fontId="4" fillId="0" borderId="5" xfId="0" applyFont="1" applyBorder="1" applyAlignment="1">
      <alignment horizontal="right" vertical="top"/>
    </xf>
    <xf numFmtId="0" fontId="5" fillId="0" borderId="1" xfId="2" applyFont="1" applyBorder="1" applyAlignment="1">
      <alignment horizontal="right" vertical="center"/>
    </xf>
    <xf numFmtId="0" fontId="4" fillId="0" borderId="1" xfId="2" applyFont="1" applyBorder="1"/>
    <xf numFmtId="0" fontId="4" fillId="0" borderId="1" xfId="2" applyFont="1" applyBorder="1" applyAlignment="1" applyProtection="1">
      <alignment vertical="top" wrapText="1"/>
      <protection locked="0"/>
    </xf>
    <xf numFmtId="0" fontId="4" fillId="0" borderId="1" xfId="2" applyFont="1" applyBorder="1" applyAlignment="1" applyProtection="1">
      <alignment wrapText="1"/>
      <protection locked="0"/>
    </xf>
    <xf numFmtId="0" fontId="4" fillId="0" borderId="4" xfId="2" applyFont="1" applyBorder="1" applyProtection="1">
      <protection locked="0"/>
    </xf>
    <xf numFmtId="0" fontId="5" fillId="3" borderId="1" xfId="2" applyFont="1" applyFill="1" applyBorder="1" applyAlignment="1">
      <alignment horizontal="center" vertical="center" wrapText="1"/>
    </xf>
    <xf numFmtId="0" fontId="4" fillId="3" borderId="1" xfId="2" applyFont="1" applyFill="1" applyBorder="1" applyAlignment="1">
      <alignment horizontal="center" vertical="center"/>
    </xf>
    <xf numFmtId="0" fontId="4" fillId="0" borderId="1" xfId="2" applyFont="1" applyBorder="1" applyAlignment="1">
      <alignment horizontal="left" vertical="top" wrapText="1"/>
    </xf>
    <xf numFmtId="0" fontId="3" fillId="0" borderId="1" xfId="2" applyBorder="1" applyAlignment="1">
      <alignment horizontal="left" vertical="top" wrapText="1"/>
    </xf>
    <xf numFmtId="0" fontId="5" fillId="0" borderId="1" xfId="2" applyFont="1" applyBorder="1" applyAlignment="1">
      <alignment horizontal="right"/>
    </xf>
    <xf numFmtId="0" fontId="4" fillId="0" borderId="1" xfId="2" applyFont="1" applyBorder="1" applyAlignment="1">
      <alignment horizontal="right"/>
    </xf>
    <xf numFmtId="170" fontId="4" fillId="3" borderId="0" xfId="2" applyNumberFormat="1" applyFont="1" applyFill="1" applyAlignment="1">
      <alignment horizontal="center" vertical="center"/>
    </xf>
    <xf numFmtId="164" fontId="4" fillId="3" borderId="0" xfId="2" applyNumberFormat="1" applyFont="1" applyFill="1" applyAlignment="1">
      <alignment horizontal="center" vertical="center"/>
    </xf>
    <xf numFmtId="0" fontId="7" fillId="0" borderId="0" xfId="2" applyFont="1" applyAlignment="1">
      <alignment horizontal="center" vertical="center"/>
    </xf>
    <xf numFmtId="165" fontId="4" fillId="3" borderId="0" xfId="2" applyNumberFormat="1" applyFont="1" applyFill="1" applyAlignment="1">
      <alignment horizontal="center" vertical="center"/>
    </xf>
    <xf numFmtId="165" fontId="6" fillId="3" borderId="0" xfId="2" applyNumberFormat="1" applyFont="1" applyFill="1" applyAlignment="1">
      <alignment horizontal="center" vertical="center"/>
    </xf>
    <xf numFmtId="0" fontId="7" fillId="14" borderId="2" xfId="0" applyFont="1" applyFill="1" applyBorder="1" applyAlignment="1">
      <alignment horizontal="left" wrapText="1"/>
    </xf>
    <xf numFmtId="0" fontId="7" fillId="14" borderId="10" xfId="0" applyFont="1" applyFill="1" applyBorder="1" applyAlignment="1">
      <alignment horizontal="left" wrapText="1"/>
    </xf>
    <xf numFmtId="0" fontId="7" fillId="14" borderId="3" xfId="0" applyFont="1" applyFill="1" applyBorder="1" applyAlignment="1">
      <alignment horizontal="left" wrapText="1"/>
    </xf>
    <xf numFmtId="0" fontId="8" fillId="0" borderId="2" xfId="2" applyFont="1" applyBorder="1" applyAlignment="1">
      <alignment horizontal="center" vertical="center" wrapText="1"/>
    </xf>
    <xf numFmtId="0" fontId="8" fillId="0" borderId="10" xfId="2" applyFont="1" applyBorder="1" applyAlignment="1">
      <alignment horizontal="center" vertical="center" wrapText="1"/>
    </xf>
    <xf numFmtId="0" fontId="27" fillId="19" borderId="14" xfId="2" applyFont="1" applyFill="1" applyBorder="1" applyAlignment="1">
      <alignment horizontal="center" vertical="center" wrapText="1"/>
    </xf>
    <xf numFmtId="0" fontId="27" fillId="19" borderId="6" xfId="2" applyFont="1" applyFill="1" applyBorder="1" applyAlignment="1">
      <alignment horizontal="center" vertical="center" wrapText="1"/>
    </xf>
    <xf numFmtId="0" fontId="8" fillId="0" borderId="1" xfId="2" applyFont="1" applyBorder="1" applyAlignment="1">
      <alignment horizontal="center" vertical="center" wrapText="1"/>
    </xf>
    <xf numFmtId="0" fontId="8" fillId="0" borderId="1" xfId="2" applyFont="1" applyBorder="1" applyAlignment="1">
      <alignment horizontal="center" wrapText="1"/>
    </xf>
    <xf numFmtId="0" fontId="27" fillId="19" borderId="1" xfId="2" applyFont="1" applyFill="1" applyBorder="1" applyAlignment="1">
      <alignment horizontal="center" vertical="center" wrapText="1"/>
    </xf>
    <xf numFmtId="0" fontId="3" fillId="0" borderId="1" xfId="2" applyBorder="1" applyAlignment="1">
      <alignment wrapText="1"/>
    </xf>
    <xf numFmtId="0" fontId="27" fillId="19" borderId="2" xfId="2" applyFont="1" applyFill="1" applyBorder="1" applyAlignment="1">
      <alignment horizontal="center" vertical="center" wrapText="1"/>
    </xf>
    <xf numFmtId="0" fontId="8" fillId="0" borderId="3" xfId="2" applyFont="1" applyBorder="1" applyAlignment="1">
      <alignment horizontal="center" wrapText="1"/>
    </xf>
    <xf numFmtId="0" fontId="8" fillId="0" borderId="10" xfId="2" applyFont="1" applyBorder="1" applyAlignment="1">
      <alignment vertical="center" wrapText="1"/>
    </xf>
    <xf numFmtId="0" fontId="27" fillId="19" borderId="10" xfId="2" applyFont="1" applyFill="1" applyBorder="1" applyAlignment="1">
      <alignment horizontal="center" vertical="center" wrapText="1"/>
    </xf>
    <xf numFmtId="0" fontId="8" fillId="0" borderId="10" xfId="2" applyFont="1" applyBorder="1" applyAlignment="1">
      <alignment horizontal="center" wrapText="1"/>
    </xf>
    <xf numFmtId="0" fontId="8" fillId="0" borderId="10" xfId="2" applyFont="1" applyBorder="1" applyAlignment="1">
      <alignment wrapText="1"/>
    </xf>
    <xf numFmtId="0" fontId="8" fillId="0" borderId="3" xfId="2" applyFont="1" applyBorder="1" applyAlignment="1">
      <alignment wrapText="1"/>
    </xf>
    <xf numFmtId="0" fontId="8" fillId="0" borderId="1" xfId="2" applyFont="1" applyBorder="1" applyAlignment="1">
      <alignment wrapText="1"/>
    </xf>
    <xf numFmtId="1" fontId="8" fillId="0" borderId="1" xfId="2" applyNumberFormat="1" applyFont="1" applyBorder="1" applyAlignment="1">
      <alignment horizontal="center" vertical="center" wrapText="1"/>
    </xf>
    <xf numFmtId="0" fontId="3" fillId="0" borderId="1" xfId="2" applyBorder="1" applyAlignment="1">
      <alignment horizontal="center" vertical="center" wrapText="1"/>
    </xf>
    <xf numFmtId="0" fontId="27" fillId="19" borderId="1" xfId="2" applyFont="1" applyFill="1" applyBorder="1" applyAlignment="1">
      <alignment horizontal="center" vertical="center"/>
    </xf>
    <xf numFmtId="0" fontId="27" fillId="0" borderId="1" xfId="2" applyFont="1" applyBorder="1" applyAlignment="1">
      <alignment horizontal="center" vertical="center" textRotation="90" wrapText="1"/>
    </xf>
    <xf numFmtId="0" fontId="7" fillId="0" borderId="1" xfId="2" applyFont="1" applyBorder="1" applyAlignment="1">
      <alignment horizontal="center" vertical="center" textRotation="90" wrapText="1"/>
    </xf>
    <xf numFmtId="0" fontId="3" fillId="0" borderId="1" xfId="2" applyBorder="1"/>
    <xf numFmtId="0" fontId="3" fillId="0" borderId="3" xfId="2" applyBorder="1"/>
    <xf numFmtId="0" fontId="27" fillId="19" borderId="10" xfId="2" applyFont="1" applyFill="1" applyBorder="1" applyAlignment="1">
      <alignment horizontal="center" vertical="center"/>
    </xf>
    <xf numFmtId="0" fontId="27" fillId="19" borderId="3" xfId="2" applyFont="1" applyFill="1" applyBorder="1" applyAlignment="1">
      <alignment horizontal="center" vertical="center"/>
    </xf>
    <xf numFmtId="0" fontId="3" fillId="19" borderId="9" xfId="2" applyFill="1" applyBorder="1" applyAlignment="1">
      <alignment horizontal="center" vertical="center"/>
    </xf>
    <xf numFmtId="0" fontId="3" fillId="19" borderId="9" xfId="2" applyFill="1" applyBorder="1"/>
    <xf numFmtId="9" fontId="8" fillId="0" borderId="1" xfId="2" applyNumberFormat="1" applyFont="1" applyBorder="1" applyAlignment="1">
      <alignment horizontal="center" vertical="center"/>
    </xf>
    <xf numFmtId="0" fontId="3" fillId="0" borderId="1" xfId="2" applyBorder="1" applyAlignment="1">
      <alignment horizontal="center" vertical="center"/>
    </xf>
    <xf numFmtId="0" fontId="5" fillId="9" borderId="2" xfId="0" applyFont="1" applyFill="1" applyBorder="1" applyAlignment="1">
      <alignment horizontal="center"/>
    </xf>
    <xf numFmtId="0" fontId="5" fillId="9" borderId="10" xfId="0" applyFont="1" applyFill="1" applyBorder="1" applyAlignment="1">
      <alignment horizontal="center"/>
    </xf>
    <xf numFmtId="0" fontId="5" fillId="9" borderId="3" xfId="0" applyFont="1" applyFill="1" applyBorder="1" applyAlignment="1">
      <alignment horizontal="center"/>
    </xf>
    <xf numFmtId="0" fontId="4" fillId="9" borderId="2" xfId="0" applyFont="1" applyFill="1" applyBorder="1" applyAlignment="1">
      <alignment horizontal="center"/>
    </xf>
    <xf numFmtId="0" fontId="0" fillId="0" borderId="3" xfId="0" applyBorder="1" applyAlignment="1">
      <alignment horizontal="center"/>
    </xf>
    <xf numFmtId="0" fontId="4" fillId="0" borderId="8" xfId="0" applyFont="1" applyBorder="1" applyAlignment="1">
      <alignment horizontal="left" vertical="top" wrapText="1"/>
    </xf>
    <xf numFmtId="0" fontId="0" fillId="0" borderId="11" xfId="0" applyBorder="1" applyAlignment="1">
      <alignment horizontal="left" vertical="top" wrapText="1"/>
    </xf>
    <xf numFmtId="0" fontId="4" fillId="0" borderId="2" xfId="2" applyFont="1" applyBorder="1" applyAlignment="1">
      <alignment horizontal="left" vertical="top" wrapText="1"/>
    </xf>
    <xf numFmtId="0" fontId="0" fillId="0" borderId="10" xfId="0" applyBorder="1" applyAlignment="1">
      <alignment vertical="top"/>
    </xf>
    <xf numFmtId="0" fontId="0" fillId="0" borderId="3" xfId="0" applyBorder="1" applyAlignment="1">
      <alignment vertical="top"/>
    </xf>
    <xf numFmtId="0" fontId="0" fillId="0" borderId="10" xfId="0" applyBorder="1" applyAlignment="1">
      <alignment vertical="top" wrapText="1"/>
    </xf>
    <xf numFmtId="0" fontId="4" fillId="2" borderId="2" xfId="2" applyFont="1" applyFill="1" applyBorder="1" applyAlignment="1">
      <alignment horizontal="left" vertical="top" wrapText="1"/>
    </xf>
    <xf numFmtId="0" fontId="3" fillId="0" borderId="10" xfId="0" applyFont="1" applyBorder="1" applyAlignment="1">
      <alignment horizontal="left" vertical="top" wrapText="1"/>
    </xf>
    <xf numFmtId="0" fontId="5" fillId="3" borderId="2" xfId="0" applyFont="1" applyFill="1" applyBorder="1" applyAlignment="1">
      <alignment horizontal="center" vertical="center" wrapText="1"/>
    </xf>
    <xf numFmtId="0" fontId="0" fillId="0" borderId="10" xfId="0" applyBorder="1" applyAlignment="1">
      <alignment horizontal="center" vertical="center" wrapText="1"/>
    </xf>
    <xf numFmtId="0" fontId="9" fillId="0" borderId="2" xfId="0" applyFont="1" applyBorder="1" applyAlignment="1">
      <alignment horizontal="left" vertical="top" wrapText="1"/>
    </xf>
    <xf numFmtId="0" fontId="5" fillId="3" borderId="16" xfId="0" applyFont="1" applyFill="1" applyBorder="1" applyAlignment="1">
      <alignment horizontal="center" vertical="center" wrapText="1"/>
    </xf>
    <xf numFmtId="0" fontId="0" fillId="0" borderId="17" xfId="0" applyBorder="1" applyAlignment="1">
      <alignment horizontal="center" vertical="center"/>
    </xf>
    <xf numFmtId="0" fontId="0" fillId="0" borderId="18" xfId="0" applyBorder="1" applyAlignment="1">
      <alignment horizontal="center" vertical="center"/>
    </xf>
    <xf numFmtId="0" fontId="12" fillId="0" borderId="2" xfId="2" applyFont="1" applyBorder="1" applyAlignment="1">
      <alignment horizontal="left" vertical="top" wrapText="1"/>
    </xf>
    <xf numFmtId="0" fontId="5" fillId="0" borderId="2" xfId="0" applyFont="1" applyBorder="1" applyAlignment="1">
      <alignment horizontal="left" vertical="top" wrapText="1"/>
    </xf>
    <xf numFmtId="0" fontId="4" fillId="0" borderId="2" xfId="0" applyFont="1" applyBorder="1" applyAlignment="1" applyProtection="1">
      <alignment horizontal="left" vertical="top" wrapText="1"/>
      <protection locked="0"/>
    </xf>
    <xf numFmtId="0" fontId="3" fillId="0" borderId="3" xfId="0" applyFont="1" applyBorder="1" applyAlignment="1">
      <alignment horizontal="left" vertical="top" wrapText="1"/>
    </xf>
    <xf numFmtId="165" fontId="4" fillId="7" borderId="2" xfId="0" applyNumberFormat="1" applyFont="1" applyFill="1" applyBorder="1" applyAlignment="1">
      <alignment horizontal="center" wrapText="1"/>
    </xf>
    <xf numFmtId="165" fontId="4" fillId="7" borderId="10" xfId="0" applyNumberFormat="1" applyFont="1" applyFill="1" applyBorder="1" applyAlignment="1">
      <alignment horizontal="center" wrapText="1"/>
    </xf>
    <xf numFmtId="165" fontId="4" fillId="7" borderId="3" xfId="0" applyNumberFormat="1" applyFont="1" applyFill="1" applyBorder="1" applyAlignment="1">
      <alignment horizontal="center" wrapText="1"/>
    </xf>
    <xf numFmtId="0" fontId="4" fillId="0" borderId="10" xfId="2" applyFont="1" applyBorder="1" applyAlignment="1">
      <alignment horizontal="left" vertical="top" wrapText="1"/>
    </xf>
    <xf numFmtId="0" fontId="4" fillId="0" borderId="3" xfId="2" applyFont="1" applyBorder="1" applyAlignment="1">
      <alignment horizontal="left" vertical="top" wrapText="1"/>
    </xf>
    <xf numFmtId="0" fontId="5" fillId="6" borderId="2" xfId="0" applyFont="1" applyFill="1" applyBorder="1" applyAlignment="1">
      <alignment horizontal="center" vertical="center" wrapText="1"/>
    </xf>
    <xf numFmtId="1" fontId="4" fillId="7" borderId="2" xfId="0" applyNumberFormat="1" applyFont="1" applyFill="1" applyBorder="1" applyAlignment="1">
      <alignment horizontal="center"/>
    </xf>
    <xf numFmtId="0" fontId="4" fillId="7" borderId="10" xfId="0" applyFont="1" applyFill="1" applyBorder="1" applyAlignment="1">
      <alignment horizontal="center"/>
    </xf>
    <xf numFmtId="0" fontId="4" fillId="7" borderId="3" xfId="0" applyFont="1" applyFill="1" applyBorder="1" applyAlignment="1">
      <alignment horizontal="center"/>
    </xf>
    <xf numFmtId="0" fontId="4" fillId="7" borderId="2" xfId="0" applyFont="1" applyFill="1" applyBorder="1" applyAlignment="1">
      <alignment horizontal="center"/>
    </xf>
    <xf numFmtId="0" fontId="4" fillId="0" borderId="2" xfId="2" applyFont="1" applyBorder="1" applyAlignment="1" applyProtection="1">
      <alignment horizontal="left" vertical="top" wrapText="1"/>
      <protection locked="0"/>
    </xf>
    <xf numFmtId="0" fontId="4" fillId="0" borderId="27" xfId="2" applyFont="1"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12" fillId="0" borderId="19" xfId="0" applyFont="1" applyBorder="1" applyAlignment="1">
      <alignment horizontal="left" vertical="top" wrapText="1"/>
    </xf>
    <xf numFmtId="0" fontId="12" fillId="0" borderId="28" xfId="0" applyFont="1" applyBorder="1" applyAlignment="1">
      <alignment horizontal="left" vertical="top" wrapText="1"/>
    </xf>
    <xf numFmtId="0" fontId="0" fillId="0" borderId="29" xfId="0" applyBorder="1" applyAlignment="1">
      <alignment horizontal="left" vertical="top" wrapText="1"/>
    </xf>
    <xf numFmtId="0" fontId="0" fillId="0" borderId="30" xfId="0" applyBorder="1" applyAlignment="1">
      <alignment horizontal="left" vertical="top" wrapText="1"/>
    </xf>
    <xf numFmtId="0" fontId="4" fillId="0" borderId="27" xfId="0" applyFont="1" applyBorder="1" applyAlignment="1">
      <alignment horizontal="left" vertical="top" wrapText="1"/>
    </xf>
    <xf numFmtId="0" fontId="4" fillId="0" borderId="27" xfId="0" applyFont="1" applyBorder="1" applyAlignment="1">
      <alignment wrapText="1"/>
    </xf>
    <xf numFmtId="0" fontId="0" fillId="0" borderId="20" xfId="0" applyBorder="1" applyAlignment="1">
      <alignment wrapText="1"/>
    </xf>
    <xf numFmtId="0" fontId="0" fillId="0" borderId="23" xfId="0" applyBorder="1" applyAlignment="1">
      <alignment wrapText="1"/>
    </xf>
    <xf numFmtId="0" fontId="4" fillId="0" borderId="20" xfId="0" applyFont="1" applyBorder="1" applyAlignment="1">
      <alignment horizontal="left" vertical="top" wrapText="1"/>
    </xf>
    <xf numFmtId="0" fontId="4" fillId="0" borderId="23" xfId="0" applyFont="1" applyBorder="1" applyAlignment="1">
      <alignment horizontal="left" vertical="top" wrapText="1"/>
    </xf>
    <xf numFmtId="0" fontId="5" fillId="0" borderId="2" xfId="2" applyFont="1" applyBorder="1" applyAlignment="1">
      <alignment horizontal="left" vertical="top" wrapText="1"/>
    </xf>
    <xf numFmtId="0" fontId="5" fillId="0" borderId="2" xfId="0" applyFont="1" applyBorder="1" applyAlignment="1">
      <alignment horizontal="left" wrapText="1"/>
    </xf>
    <xf numFmtId="0" fontId="9" fillId="0" borderId="2" xfId="2" applyFont="1" applyBorder="1" applyAlignment="1">
      <alignment horizontal="left" vertical="top" wrapText="1"/>
    </xf>
    <xf numFmtId="0" fontId="27" fillId="0" borderId="1" xfId="2" applyFont="1" applyBorder="1" applyAlignment="1" applyProtection="1">
      <alignment horizontal="left" vertical="top" wrapText="1"/>
      <protection locked="0"/>
    </xf>
    <xf numFmtId="0" fontId="27" fillId="0" borderId="4" xfId="2" applyFont="1" applyBorder="1" applyAlignment="1">
      <alignment horizontal="left" vertical="center" wrapText="1"/>
    </xf>
    <xf numFmtId="0" fontId="3" fillId="0" borderId="4" xfId="2" applyBorder="1"/>
    <xf numFmtId="0" fontId="27" fillId="19" borderId="2" xfId="2" applyFont="1" applyFill="1" applyBorder="1" applyAlignment="1">
      <alignment horizontal="left" vertical="center" wrapText="1"/>
    </xf>
    <xf numFmtId="0" fontId="8" fillId="0" borderId="10" xfId="2" applyFont="1" applyBorder="1" applyAlignment="1">
      <alignment horizontal="left" vertical="center" wrapText="1"/>
    </xf>
    <xf numFmtId="0" fontId="8" fillId="0" borderId="3" xfId="2" applyFont="1" applyBorder="1" applyAlignment="1">
      <alignment horizontal="left" vertical="center" wrapText="1"/>
    </xf>
    <xf numFmtId="0" fontId="8" fillId="0" borderId="1" xfId="2" applyFont="1" applyBorder="1" applyAlignment="1">
      <alignment vertical="top" wrapText="1"/>
    </xf>
    <xf numFmtId="0" fontId="8" fillId="0" borderId="1" xfId="2" applyFont="1" applyBorder="1"/>
    <xf numFmtId="0" fontId="8" fillId="0" borderId="2" xfId="2" applyFont="1" applyBorder="1" applyAlignment="1">
      <alignment vertical="top" wrapText="1"/>
    </xf>
    <xf numFmtId="0" fontId="8" fillId="0" borderId="10" xfId="2" applyFont="1" applyBorder="1" applyAlignment="1">
      <alignment vertical="top" wrapText="1"/>
    </xf>
    <xf numFmtId="0" fontId="8" fillId="0" borderId="3" xfId="2" applyFont="1" applyBorder="1"/>
    <xf numFmtId="0" fontId="27" fillId="0" borderId="1" xfId="2" applyFont="1" applyBorder="1" applyAlignment="1">
      <alignment horizontal="right" vertical="top"/>
    </xf>
    <xf numFmtId="0" fontId="27" fillId="0" borderId="2" xfId="2" applyFont="1" applyBorder="1" applyAlignment="1">
      <alignment horizontal="right" vertical="center"/>
    </xf>
    <xf numFmtId="0" fontId="27" fillId="0" borderId="10" xfId="2" applyFont="1" applyBorder="1" applyAlignment="1">
      <alignment horizontal="right" vertical="center"/>
    </xf>
    <xf numFmtId="0" fontId="27" fillId="0" borderId="3" xfId="2" applyFont="1" applyBorder="1" applyAlignment="1">
      <alignment horizontal="right" vertical="center"/>
    </xf>
    <xf numFmtId="0" fontId="27" fillId="19" borderId="36" xfId="2" applyFont="1" applyFill="1" applyBorder="1" applyAlignment="1">
      <alignment vertical="center"/>
    </xf>
    <xf numFmtId="0" fontId="8" fillId="19" borderId="37" xfId="2" applyFont="1" applyFill="1" applyBorder="1" applyAlignment="1">
      <alignment vertical="center"/>
    </xf>
    <xf numFmtId="0" fontId="8" fillId="0" borderId="1" xfId="2" applyFont="1" applyBorder="1" applyAlignment="1">
      <alignment horizontal="left" vertical="center"/>
    </xf>
    <xf numFmtId="0" fontId="27" fillId="0" borderId="38" xfId="2" applyFont="1" applyBorder="1" applyAlignment="1">
      <alignment horizontal="left" vertical="center"/>
    </xf>
    <xf numFmtId="9" fontId="27" fillId="0" borderId="0" xfId="2" applyNumberFormat="1" applyFont="1" applyAlignment="1">
      <alignment horizontal="left" vertical="center" wrapText="1"/>
    </xf>
    <xf numFmtId="0" fontId="3" fillId="0" borderId="0" xfId="2"/>
    <xf numFmtId="0" fontId="27" fillId="0" borderId="31" xfId="2" applyFont="1" applyBorder="1" applyAlignment="1">
      <alignment horizontal="center" vertical="center" wrapText="1"/>
    </xf>
    <xf numFmtId="0" fontId="3" fillId="0" borderId="31" xfId="2" applyBorder="1" applyAlignment="1">
      <alignment horizontal="center" vertical="center" wrapText="1"/>
    </xf>
    <xf numFmtId="0" fontId="3" fillId="0" borderId="0" xfId="2" applyAlignment="1">
      <alignment horizontal="center" vertical="center" wrapText="1"/>
    </xf>
    <xf numFmtId="0" fontId="27" fillId="19" borderId="39" xfId="2" applyFont="1" applyFill="1" applyBorder="1" applyAlignment="1">
      <alignment vertical="center"/>
    </xf>
    <xf numFmtId="0" fontId="0" fillId="0" borderId="38" xfId="0" applyBorder="1" applyAlignment="1">
      <alignment vertical="center"/>
    </xf>
    <xf numFmtId="0" fontId="0" fillId="0" borderId="40" xfId="0" applyBorder="1" applyAlignment="1">
      <alignment vertical="center"/>
    </xf>
    <xf numFmtId="0" fontId="27" fillId="19" borderId="2" xfId="2" applyFont="1" applyFill="1" applyBorder="1" applyAlignment="1">
      <alignment vertical="center"/>
    </xf>
    <xf numFmtId="0" fontId="27" fillId="19" borderId="10" xfId="2" applyFont="1" applyFill="1" applyBorder="1" applyAlignment="1">
      <alignment vertical="center"/>
    </xf>
    <xf numFmtId="0" fontId="27" fillId="19" borderId="3" xfId="2" applyFont="1" applyFill="1" applyBorder="1" applyAlignment="1">
      <alignment vertical="center"/>
    </xf>
    <xf numFmtId="170" fontId="8" fillId="0" borderId="32" xfId="2" applyNumberFormat="1" applyFont="1" applyBorder="1" applyAlignment="1">
      <alignment horizontal="center" vertical="center"/>
    </xf>
    <xf numFmtId="0" fontId="8" fillId="0" borderId="32" xfId="2" applyFont="1" applyBorder="1" applyAlignment="1">
      <alignment horizontal="center" vertical="center"/>
    </xf>
    <xf numFmtId="0" fontId="8" fillId="0" borderId="33" xfId="2" applyFont="1" applyBorder="1" applyAlignment="1">
      <alignment horizontal="center" vertical="center"/>
    </xf>
    <xf numFmtId="0" fontId="8" fillId="0" borderId="5" xfId="2" applyFont="1" applyBorder="1" applyAlignment="1">
      <alignment vertical="center" wrapText="1"/>
    </xf>
    <xf numFmtId="0" fontId="3" fillId="0" borderId="0" xfId="2" applyAlignment="1">
      <alignment vertical="center"/>
    </xf>
    <xf numFmtId="0" fontId="3" fillId="0" borderId="35" xfId="2" applyBorder="1" applyAlignment="1">
      <alignment vertical="center"/>
    </xf>
    <xf numFmtId="0" fontId="3" fillId="0" borderId="5" xfId="2" applyBorder="1" applyAlignment="1">
      <alignment vertical="center"/>
    </xf>
    <xf numFmtId="0" fontId="27" fillId="19" borderId="41" xfId="2" applyFont="1" applyFill="1" applyBorder="1" applyAlignment="1">
      <alignment vertical="center"/>
    </xf>
    <xf numFmtId="0" fontId="0" fillId="0" borderId="10" xfId="0" applyBorder="1" applyAlignment="1">
      <alignment vertical="center"/>
    </xf>
    <xf numFmtId="0" fontId="0" fillId="0" borderId="3" xfId="0" applyBorder="1" applyAlignment="1">
      <alignment vertical="center"/>
    </xf>
  </cellXfs>
  <cellStyles count="8">
    <cellStyle name="Comma" xfId="5" builtinId="3"/>
    <cellStyle name="Currency" xfId="1" builtinId="4"/>
    <cellStyle name="Normal" xfId="0" builtinId="0"/>
    <cellStyle name="Normal 2" xfId="2" xr:uid="{00000000-0005-0000-0000-000002000000}"/>
    <cellStyle name="Normal 3" xfId="3" xr:uid="{00000000-0005-0000-0000-000003000000}"/>
    <cellStyle name="Normal_Data - Results" xfId="7" xr:uid="{28F3DCCF-2278-4992-96C7-D13871123FA6}"/>
    <cellStyle name="Normal_Sheet2" xfId="6" xr:uid="{F432E0E7-980E-492F-AB19-546234BBCA1C}"/>
    <cellStyle name="Percent" xfId="4" builtinId="5"/>
  </cellStyles>
  <dxfs count="56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mm/dd/yy"/>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right style="thin">
          <color rgb="FF000000"/>
        </right>
        <top style="thin">
          <color rgb="FF000000"/>
        </top>
        <bottom style="thin">
          <color rgb="FF000000"/>
        </bottom>
      </border>
    </dxf>
    <dxf>
      <protection locked="0" hidden="0"/>
    </dxf>
    <dxf>
      <font>
        <color rgb="FF404040"/>
      </font>
      <fill>
        <patternFill patternType="solid">
          <fgColor indexed="64"/>
          <bgColor rgb="FFD6DCE4"/>
        </patternFill>
      </fill>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mm/dd/yy"/>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right style="thin">
          <color rgb="FF000000"/>
        </right>
        <top style="thin">
          <color rgb="FF000000"/>
        </top>
        <bottom style="thin">
          <color rgb="FF000000"/>
        </bottom>
      </border>
    </dxf>
    <dxf>
      <protection locked="0" hidden="0"/>
    </dxf>
    <dxf>
      <font>
        <color rgb="FF404040"/>
      </font>
      <fill>
        <patternFill patternType="solid">
          <fgColor indexed="64"/>
          <bgColor rgb="FFD6DCE4"/>
        </patternFill>
      </fill>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mm/dd/yy"/>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right style="thin">
          <color rgb="FF000000"/>
        </right>
        <top style="thin">
          <color rgb="FF000000"/>
        </top>
        <bottom style="thin">
          <color rgb="FF000000"/>
        </bottom>
      </border>
    </dxf>
    <dxf>
      <protection locked="0" hidden="0"/>
    </dxf>
    <dxf>
      <font>
        <color rgb="FF404040"/>
      </font>
      <fill>
        <patternFill patternType="solid">
          <fgColor indexed="64"/>
          <bgColor rgb="FFD6DCE4"/>
        </patternFill>
      </fill>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mm/dd/yy"/>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right style="thin">
          <color rgb="FF000000"/>
        </right>
        <top style="thin">
          <color rgb="FF000000"/>
        </top>
        <bottom style="thin">
          <color rgb="FF000000"/>
        </bottom>
      </border>
    </dxf>
    <dxf>
      <protection locked="0" hidden="0"/>
    </dxf>
    <dxf>
      <font>
        <color rgb="FF404040"/>
      </font>
      <fill>
        <patternFill patternType="solid">
          <fgColor indexed="64"/>
          <bgColor rgb="FFD6DCE4"/>
        </patternFill>
      </fill>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mm/dd/yy"/>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right style="thin">
          <color rgb="FF000000"/>
        </right>
        <top style="thin">
          <color rgb="FF000000"/>
        </top>
        <bottom style="thin">
          <color rgb="FF000000"/>
        </bottom>
      </border>
    </dxf>
    <dxf>
      <protection locked="0" hidden="0"/>
    </dxf>
    <dxf>
      <font>
        <color rgb="FF404040"/>
      </font>
      <fill>
        <patternFill patternType="solid">
          <fgColor indexed="64"/>
          <bgColor rgb="FFD6DCE4"/>
        </patternFill>
      </fill>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mm/dd/yy"/>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right style="thin">
          <color rgb="FF000000"/>
        </right>
        <top style="thin">
          <color rgb="FF000000"/>
        </top>
        <bottom style="thin">
          <color rgb="FF000000"/>
        </bottom>
      </border>
    </dxf>
    <dxf>
      <protection locked="0" hidden="0"/>
    </dxf>
    <dxf>
      <font>
        <color rgb="FF404040"/>
      </font>
      <fill>
        <patternFill patternType="solid">
          <fgColor indexed="64"/>
          <bgColor rgb="FFD6DCE4"/>
        </patternFill>
      </fill>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mm/dd/yy"/>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right style="thin">
          <color rgb="FF000000"/>
        </right>
        <top style="thin">
          <color rgb="FF000000"/>
        </top>
        <bottom style="thin">
          <color rgb="FF000000"/>
        </bottom>
      </border>
    </dxf>
    <dxf>
      <protection locked="0" hidden="0"/>
    </dxf>
    <dxf>
      <font>
        <color rgb="FF404040"/>
      </font>
      <fill>
        <patternFill patternType="solid">
          <fgColor indexed="64"/>
          <bgColor rgb="FFD6DCE4"/>
        </patternFill>
      </fill>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mm/dd/yy"/>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right style="thin">
          <color rgb="FF000000"/>
        </right>
        <top style="thin">
          <color rgb="FF000000"/>
        </top>
        <bottom style="thin">
          <color rgb="FF000000"/>
        </bottom>
      </border>
    </dxf>
    <dxf>
      <protection locked="0" hidden="0"/>
    </dxf>
    <dxf>
      <font>
        <color rgb="FF404040"/>
      </font>
      <fill>
        <patternFill patternType="solid">
          <fgColor indexed="64"/>
          <bgColor rgb="FFD6DCE4"/>
        </patternFill>
      </fill>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mm/dd/yy"/>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right style="thin">
          <color rgb="FF000000"/>
        </right>
        <top style="thin">
          <color rgb="FF000000"/>
        </top>
        <bottom style="thin">
          <color rgb="FF000000"/>
        </bottom>
      </border>
    </dxf>
    <dxf>
      <protection locked="0" hidden="0"/>
    </dxf>
    <dxf>
      <font>
        <color rgb="FF404040"/>
      </font>
      <fill>
        <patternFill patternType="solid">
          <fgColor indexed="64"/>
          <bgColor rgb="FFD6DCE4"/>
        </patternFill>
      </fill>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mm/dd/yy"/>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right style="thin">
          <color rgb="FF000000"/>
        </right>
        <top style="thin">
          <color rgb="FF000000"/>
        </top>
        <bottom style="thin">
          <color rgb="FF000000"/>
        </bottom>
      </border>
    </dxf>
    <dxf>
      <protection locked="0" hidden="0"/>
    </dxf>
    <dxf>
      <font>
        <color rgb="FF404040"/>
      </font>
      <fill>
        <patternFill patternType="solid">
          <fgColor indexed="64"/>
          <bgColor rgb="FFD6DCE4"/>
        </patternFill>
      </fill>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mm/dd/yy"/>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right style="thin">
          <color rgb="FF000000"/>
        </right>
        <top style="thin">
          <color rgb="FF000000"/>
        </top>
        <bottom style="thin">
          <color rgb="FF000000"/>
        </bottom>
      </border>
    </dxf>
    <dxf>
      <protection locked="0" hidden="0"/>
    </dxf>
    <dxf>
      <font>
        <color rgb="FF404040"/>
      </font>
      <fill>
        <patternFill patternType="solid">
          <fgColor indexed="64"/>
          <bgColor rgb="FFD6DCE4"/>
        </patternFill>
      </fill>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mm/dd/yy"/>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right style="thin">
          <color rgb="FF000000"/>
        </right>
        <top style="thin">
          <color rgb="FF000000"/>
        </top>
        <bottom style="thin">
          <color rgb="FF000000"/>
        </bottom>
      </border>
    </dxf>
    <dxf>
      <protection locked="0" hidden="0"/>
    </dxf>
    <dxf>
      <font>
        <color rgb="FF404040"/>
      </font>
      <fill>
        <patternFill patternType="solid">
          <fgColor indexed="64"/>
          <bgColor rgb="FFD6DCE4"/>
        </patternFill>
      </fill>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mm/dd/yy"/>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right style="thin">
          <color rgb="FF000000"/>
        </right>
        <top style="thin">
          <color rgb="FF000000"/>
        </top>
        <bottom style="thin">
          <color rgb="FF000000"/>
        </bottom>
      </border>
    </dxf>
    <dxf>
      <protection locked="0" hidden="0"/>
    </dxf>
    <dxf>
      <font>
        <color rgb="FF404040"/>
      </font>
      <fill>
        <patternFill patternType="solid">
          <fgColor indexed="64"/>
          <bgColor rgb="FFD6DCE4"/>
        </patternFill>
      </fill>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mm/dd/yy"/>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right style="thin">
          <color rgb="FF000000"/>
        </right>
        <top style="thin">
          <color rgb="FF000000"/>
        </top>
        <bottom style="thin">
          <color rgb="FF000000"/>
        </bottom>
      </border>
    </dxf>
    <dxf>
      <protection locked="0" hidden="0"/>
    </dxf>
    <dxf>
      <font>
        <color rgb="FF404040"/>
      </font>
      <fill>
        <patternFill patternType="solid">
          <fgColor indexed="64"/>
          <bgColor rgb="FFD6DCE4"/>
        </patternFill>
      </fill>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mm/dd/yy"/>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right style="thin">
          <color rgb="FF000000"/>
        </right>
        <top style="thin">
          <color rgb="FF000000"/>
        </top>
        <bottom style="thin">
          <color rgb="FF000000"/>
        </bottom>
      </border>
    </dxf>
    <dxf>
      <protection locked="0" hidden="0"/>
    </dxf>
    <dxf>
      <font>
        <color rgb="FF404040"/>
      </font>
      <fill>
        <patternFill patternType="solid">
          <fgColor indexed="64"/>
          <bgColor rgb="FFD6DCE4"/>
        </patternFill>
      </fill>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mm/dd/yy"/>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right style="thin">
          <color rgb="FF000000"/>
        </right>
        <top style="thin">
          <color rgb="FF000000"/>
        </top>
        <bottom style="thin">
          <color rgb="FF000000"/>
        </bottom>
      </border>
    </dxf>
    <dxf>
      <protection locked="0" hidden="0"/>
    </dxf>
    <dxf>
      <font>
        <color rgb="FF404040"/>
      </font>
      <fill>
        <patternFill patternType="solid">
          <fgColor indexed="64"/>
          <bgColor rgb="FFD6DCE4"/>
        </patternFill>
      </fill>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mm/dd/yy"/>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right style="thin">
          <color rgb="FF000000"/>
        </right>
        <top style="thin">
          <color rgb="FF000000"/>
        </top>
        <bottom style="thin">
          <color rgb="FF000000"/>
        </bottom>
      </border>
    </dxf>
    <dxf>
      <protection locked="0" hidden="0"/>
    </dxf>
    <dxf>
      <font>
        <color rgb="FF404040"/>
      </font>
      <fill>
        <patternFill patternType="solid">
          <fgColor indexed="64"/>
          <bgColor rgb="FFD6DCE4"/>
        </patternFill>
      </fill>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mm/dd/yy"/>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right style="thin">
          <color rgb="FF000000"/>
        </right>
        <top style="thin">
          <color rgb="FF000000"/>
        </top>
        <bottom style="thin">
          <color rgb="FF000000"/>
        </bottom>
      </border>
    </dxf>
    <dxf>
      <protection locked="0" hidden="0"/>
    </dxf>
    <dxf>
      <font>
        <color rgb="FF404040"/>
      </font>
      <fill>
        <patternFill patternType="solid">
          <fgColor indexed="64"/>
          <bgColor rgb="FFD6DCE4"/>
        </patternFill>
      </fill>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mm/dd/yy"/>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right style="thin">
          <color rgb="FF000000"/>
        </right>
        <top style="thin">
          <color rgb="FF000000"/>
        </top>
        <bottom style="thin">
          <color rgb="FF000000"/>
        </bottom>
      </border>
    </dxf>
    <dxf>
      <protection locked="0" hidden="0"/>
    </dxf>
    <dxf>
      <font>
        <color rgb="FF404040"/>
      </font>
      <fill>
        <patternFill patternType="solid">
          <fgColor indexed="64"/>
          <bgColor rgb="FFD6DCE4"/>
        </patternFill>
      </fill>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64" formatCode="mm/dd/yy"/>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right style="thin">
          <color rgb="FF000000"/>
        </right>
        <top style="thin">
          <color rgb="FF000000"/>
        </top>
        <bottom style="thin">
          <color rgb="FF000000"/>
        </bottom>
      </border>
    </dxf>
    <dxf>
      <protection locked="0" hidden="0"/>
    </dxf>
    <dxf>
      <font>
        <color rgb="FF404040"/>
      </font>
      <fill>
        <patternFill patternType="solid">
          <fgColor indexed="64"/>
          <bgColor rgb="FFD6DCE4"/>
        </patternFill>
      </fill>
    </dxf>
    <dxf>
      <font>
        <strike val="0"/>
        <outline val="0"/>
        <shadow val="0"/>
        <u val="none"/>
        <vertAlign val="baseline"/>
        <sz val="12"/>
        <color auto="1"/>
        <name val="Arial"/>
        <family val="2"/>
        <scheme val="none"/>
      </font>
      <numFmt numFmtId="0" formatCode="General"/>
    </dxf>
    <dxf>
      <font>
        <strike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strike val="0"/>
        <outline val="0"/>
        <shadow val="0"/>
        <u val="none"/>
        <vertAlign val="baseline"/>
        <sz val="12"/>
        <color auto="1"/>
        <name val="Arial"/>
        <family val="2"/>
        <scheme val="none"/>
      </font>
    </dxf>
    <dxf>
      <font>
        <strike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strike val="0"/>
        <outline val="0"/>
        <shadow val="0"/>
        <u val="none"/>
        <vertAlign val="baseline"/>
        <sz val="12"/>
        <color auto="1"/>
        <name val="Arial"/>
        <family val="2"/>
        <scheme val="none"/>
      </font>
    </dxf>
    <dxf>
      <font>
        <b val="0"/>
        <strike val="0"/>
        <outline val="0"/>
        <shadow val="0"/>
        <u val="none"/>
        <vertAlign val="baseline"/>
        <sz val="12"/>
        <color auto="1"/>
        <name val="Arial"/>
        <family val="2"/>
        <scheme val="none"/>
      </font>
    </dxf>
    <dxf>
      <font>
        <strike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numFmt numFmtId="166" formatCode="_([$$-409]* #,##0.00_);_([$$-409]* \(#,##0.00\);_([$$-409]* &quot;-&quot;??_);_(@_)"/>
    </dxf>
    <dxf>
      <font>
        <b val="0"/>
        <i val="0"/>
        <strike val="0"/>
        <condense val="0"/>
        <extend val="0"/>
        <outline val="0"/>
        <shadow val="0"/>
        <u val="none"/>
        <vertAlign val="baseline"/>
        <sz val="12"/>
        <color auto="1"/>
        <name val="Arial"/>
        <family val="2"/>
        <scheme val="none"/>
      </font>
      <numFmt numFmtId="166" formatCode="_([$$-409]* #,##0.00_);_([$$-409]* \(#,##0.00\);_([$$-409]* &quot;-&quot;??_);_(@_)"/>
      <alignment horizontal="general"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scheme val="none"/>
      </font>
      <numFmt numFmtId="13"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scheme val="none"/>
      </font>
      <numFmt numFmtId="1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7" formatCode="_(* #,##0_);_(* \(#,##0\);_(* &quot;-&quot;??_);_(@_)"/>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alignment wrapText="1"/>
    </dxf>
    <dxf>
      <alignment wrapText="1"/>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wrapText="1"/>
    </dxf>
    <dxf>
      <alignment wrapText="1"/>
    </dxf>
    <dxf>
      <alignment wrapText="1"/>
    </dxf>
    <dxf>
      <alignment wrapText="1"/>
    </dxf>
    <dxf>
      <alignment wrapText="1"/>
    </dxf>
    <dxf>
      <alignment wrapText="1"/>
    </dxf>
    <dxf>
      <alignment wrapText="1"/>
    </dxf>
    <dxf>
      <alignment wrapText="1"/>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numFmt numFmtId="3" formatCode="#,##0"/>
    </dxf>
    <dxf>
      <numFmt numFmtId="168" formatCode="&quot;$&quot;#,##0.00"/>
    </dxf>
    <dxf>
      <alignment wrapText="1"/>
    </dxf>
    <dxf>
      <alignment wrapText="1"/>
    </dxf>
    <dxf>
      <alignment wrapText="1"/>
    </dxf>
    <dxf>
      <alignment wrapText="1"/>
    </dxf>
    <dxf>
      <alignment wrapText="1"/>
    </dxf>
    <dxf>
      <alignment wrapText="1"/>
    </dxf>
    <dxf>
      <alignment wrapText="1"/>
    </dxf>
    <dxf>
      <alignment wrapText="1"/>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vertical="top"/>
    </dxf>
    <dxf>
      <alignment vertical="top"/>
    </dxf>
    <dxf>
      <alignment vertical="top"/>
    </dxf>
    <dxf>
      <alignment vertical="top"/>
    </dxf>
    <dxf>
      <alignment horizontal="left"/>
    </dxf>
    <dxf>
      <alignment horizontal="left"/>
    </dxf>
    <dxf>
      <alignment horizontal="left"/>
    </dxf>
    <dxf>
      <alignment horizontal="left"/>
    </dxf>
    <dxf>
      <alignment wrapText="1"/>
    </dxf>
    <dxf>
      <numFmt numFmtId="19" formatCode="m/d/yyyy"/>
    </dxf>
    <dxf>
      <alignment wrapText="1"/>
    </dxf>
    <dxf>
      <alignment wrapText="1"/>
    </dxf>
    <dxf>
      <alignment wrapText="1"/>
    </dxf>
    <dxf>
      <alignment wrapText="1"/>
    </dxf>
    <dxf>
      <alignment wrapText="1"/>
    </dxf>
    <dxf>
      <alignment wrapText="1"/>
    </dxf>
    <dxf>
      <alignment wrapText="1"/>
    </dxf>
    <dxf>
      <numFmt numFmtId="0" formatCode="General"/>
      <fill>
        <patternFill patternType="solid">
          <fgColor indexed="64"/>
          <bgColor theme="6" tint="0.79998168889431442"/>
        </patternFill>
      </fill>
      <alignment horizontal="center" vertical="top"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6" tint="0.79998168889431442"/>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ill>
        <patternFill patternType="solid">
          <fgColor indexed="64"/>
          <bgColor theme="6" tint="0.79998168889431442"/>
        </patternFill>
      </fill>
      <alignment horizontal="center" vertical="top" textRotation="0" wrapText="0" indent="0" justifyLastLine="0" shrinkToFit="0" readingOrder="0"/>
      <border diagonalUp="0" diagonalDown="0">
        <left/>
        <right/>
        <top style="thin">
          <color indexed="64"/>
        </top>
        <bottom/>
        <vertical/>
        <horizontal/>
      </border>
      <protection locked="0" hidden="0"/>
    </dxf>
    <dxf>
      <numFmt numFmtId="1" formatCode="0"/>
      <fill>
        <patternFill patternType="solid">
          <fgColor indexed="64"/>
          <bgColor theme="6" tint="0.79998168889431442"/>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numFmt numFmtId="1" formatCode="0"/>
      <fill>
        <patternFill patternType="solid">
          <fgColor indexed="64"/>
          <bgColor theme="6" tint="0.79998168889431442"/>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ill>
        <patternFill patternType="solid">
          <fgColor indexed="64"/>
          <bgColor theme="4" tint="0.7999816888943144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4" tint="0.79998168889431442"/>
        </patternFill>
      </fill>
    </dxf>
    <dxf>
      <border outline="0">
        <bottom style="thin">
          <color indexed="64"/>
        </bottom>
      </border>
    </dxf>
    <dxf>
      <font>
        <b val="0"/>
        <i val="0"/>
        <strike val="0"/>
        <condense val="0"/>
        <extend val="0"/>
        <outline val="0"/>
        <shadow val="0"/>
        <u val="none"/>
        <vertAlign val="baseline"/>
        <sz val="12"/>
        <color auto="1"/>
        <name val="Arial"/>
        <family val="2"/>
        <scheme val="none"/>
      </font>
      <alignment horizontal="center" vertical="top" textRotation="0" wrapText="1"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FFE0E0"/>
      <color rgb="FFE4DFEC"/>
      <color rgb="FFEFE4F7"/>
      <color rgb="FFFF99CC"/>
      <color rgb="FFF9BB87"/>
      <color rgb="FFFF33CC"/>
      <color rgb="FF00CCFF"/>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Compliance by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Data!$S$88:$S$94</c:f>
              <c:strCache>
                <c:ptCount val="7"/>
                <c:pt idx="0">
                  <c:v>Assessments (A)</c:v>
                </c:pt>
                <c:pt idx="1">
                  <c:v>Problem List (PL)</c:v>
                </c:pt>
                <c:pt idx="2">
                  <c:v>Client Plan (CP)</c:v>
                </c:pt>
                <c:pt idx="3">
                  <c:v>Progress Notes (PN)</c:v>
                </c:pt>
                <c:pt idx="4">
                  <c:v>Other Documents (OD)</c:v>
                </c:pt>
                <c:pt idx="5">
                  <c:v>Special Services (SS)</c:v>
                </c:pt>
                <c:pt idx="6">
                  <c:v>Billing (B)</c:v>
                </c:pt>
              </c:strCache>
            </c:strRef>
          </c:cat>
          <c:val>
            <c:numRef>
              <c:f>Data!$T$88:$T$94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9D4A-497C-931E-EF4E3DE1F079}"/>
            </c:ext>
          </c:extLst>
        </c:ser>
        <c:dLbls>
          <c:dLblPos val="outEnd"/>
          <c:showLegendKey val="0"/>
          <c:showVal val="1"/>
          <c:showCatName val="0"/>
          <c:showSerName val="0"/>
          <c:showPercent val="0"/>
          <c:showBubbleSize val="0"/>
        </c:dLbls>
        <c:gapWidth val="219"/>
        <c:overlap val="-27"/>
        <c:axId val="1304290319"/>
        <c:axId val="1288475071"/>
      </c:barChart>
      <c:catAx>
        <c:axId val="1304290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8475071"/>
        <c:crosses val="autoZero"/>
        <c:auto val="1"/>
        <c:lblAlgn val="ctr"/>
        <c:lblOffset val="100"/>
        <c:noMultiLvlLbl val="0"/>
      </c:catAx>
      <c:valAx>
        <c:axId val="128847507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42903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590550</xdr:colOff>
          <xdr:row>0</xdr:row>
          <xdr:rowOff>9525</xdr:rowOff>
        </xdr:from>
        <xdr:to>
          <xdr:col>0</xdr:col>
          <xdr:colOff>7429500</xdr:colOff>
          <xdr:row>0</xdr:row>
          <xdr:rowOff>1171575</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0000000-0008-0000-0000-0000017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2053590</xdr:colOff>
      <xdr:row>0</xdr:row>
      <xdr:rowOff>1285240</xdr:rowOff>
    </xdr:from>
    <xdr:to>
      <xdr:col>0</xdr:col>
      <xdr:colOff>5833110</xdr:colOff>
      <xdr:row>0</xdr:row>
      <xdr:rowOff>1993900</xdr:rowOff>
    </xdr:to>
    <xdr:sp macro="" textlink="">
      <xdr:nvSpPr>
        <xdr:cNvPr id="3" name="Text Box 5">
          <a:extLst>
            <a:ext uri="{FF2B5EF4-FFF2-40B4-BE49-F238E27FC236}">
              <a16:creationId xmlns:a16="http://schemas.microsoft.com/office/drawing/2014/main" id="{00000000-0008-0000-0000-000003000000}"/>
            </a:ext>
          </a:extLst>
        </xdr:cNvPr>
        <xdr:cNvSpPr txBox="1">
          <a:spLocks noChangeArrowheads="1"/>
        </xdr:cNvSpPr>
      </xdr:nvSpPr>
      <xdr:spPr bwMode="auto">
        <a:xfrm>
          <a:off x="2053590" y="1285240"/>
          <a:ext cx="377952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45720" tIns="45720" rIns="45720" bIns="45720" anchor="t" upright="1"/>
        <a:lstStyle/>
        <a:p>
          <a:pPr algn="ctr" rtl="0">
            <a:defRPr sz="1000"/>
          </a:pPr>
          <a:r>
            <a:rPr lang="en-US" sz="900" b="0" i="0" u="none" strike="noStrike" baseline="0">
              <a:solidFill>
                <a:srgbClr val="000000"/>
              </a:solidFill>
              <a:latin typeface="Arial"/>
              <a:cs typeface="Arial"/>
            </a:rPr>
            <a:t>HEALTH AND HUMAN SERVICES AGENCY</a:t>
          </a:r>
          <a:endParaRPr lang="en-US" sz="1200" b="0" i="0" u="none" strike="noStrike" baseline="0">
            <a:solidFill>
              <a:srgbClr val="000000"/>
            </a:solidFill>
            <a:latin typeface="Times New Roman"/>
            <a:cs typeface="Times New Roman"/>
          </a:endParaRPr>
        </a:p>
        <a:p>
          <a:pPr algn="ctr" rtl="0">
            <a:defRPr sz="1000"/>
          </a:pPr>
          <a:r>
            <a:rPr lang="en-US" sz="800" b="0" i="0" u="none" strike="noStrike" baseline="0">
              <a:solidFill>
                <a:srgbClr val="000000"/>
              </a:solidFill>
              <a:latin typeface="Arial"/>
              <a:cs typeface="Arial"/>
            </a:rPr>
            <a:t>BEHAVIORAL HEALTH SERVICES</a:t>
          </a:r>
          <a:endParaRPr lang="en-US" sz="1200" b="0" i="0" u="none" strike="noStrike" baseline="0">
            <a:solidFill>
              <a:srgbClr val="000000"/>
            </a:solidFill>
            <a:latin typeface="Times New Roman"/>
            <a:cs typeface="Times New Roman"/>
          </a:endParaRPr>
        </a:p>
        <a:p>
          <a:pPr algn="ctr" rtl="0">
            <a:defRPr sz="1000"/>
          </a:pPr>
          <a:r>
            <a:rPr lang="en-US" sz="700" b="0" i="0" u="none" strike="noStrike" baseline="0">
              <a:solidFill>
                <a:srgbClr val="000000"/>
              </a:solidFill>
              <a:latin typeface="Arial"/>
              <a:cs typeface="Arial"/>
            </a:rPr>
            <a:t>3255 CAMINO DEL RIO SOUTH, MAILSTOP P-531</a:t>
          </a:r>
          <a:endParaRPr lang="en-US" sz="1200" b="0" i="0" u="none" strike="noStrike" baseline="0">
            <a:solidFill>
              <a:srgbClr val="000000"/>
            </a:solidFill>
            <a:latin typeface="Times New Roman"/>
            <a:cs typeface="Times New Roman"/>
          </a:endParaRPr>
        </a:p>
        <a:p>
          <a:pPr algn="ctr" rtl="0">
            <a:defRPr sz="1000"/>
          </a:pPr>
          <a:r>
            <a:rPr lang="en-US" sz="700" b="0" i="0" u="none" strike="noStrike" baseline="0">
              <a:solidFill>
                <a:srgbClr val="000000"/>
              </a:solidFill>
              <a:latin typeface="Arial"/>
              <a:cs typeface="Arial"/>
            </a:rPr>
            <a:t>SAN DIEGO, CALIFORNIA 92108-3806  </a:t>
          </a:r>
          <a:endParaRPr lang="en-US" sz="1200" b="0" i="0" u="none" strike="noStrike" baseline="0">
            <a:solidFill>
              <a:srgbClr val="000000"/>
            </a:solidFill>
            <a:latin typeface="Times New Roman"/>
            <a:cs typeface="Times New Roman"/>
          </a:endParaRPr>
        </a:p>
        <a:p>
          <a:pPr algn="ctr" rtl="0">
            <a:defRPr sz="1000"/>
          </a:pPr>
          <a:r>
            <a:rPr lang="en-US" sz="700" b="0" i="0" u="none" strike="noStrike" baseline="0">
              <a:solidFill>
                <a:srgbClr val="000000"/>
              </a:solidFill>
              <a:latin typeface="Arial"/>
              <a:cs typeface="Arial"/>
            </a:rPr>
            <a:t>(619) 563-2700 </a:t>
          </a:r>
          <a:r>
            <a:rPr lang="en-US" sz="700" b="0" i="0" u="none" strike="noStrike" baseline="0">
              <a:solidFill>
                <a:srgbClr val="000000"/>
              </a:solidFill>
              <a:latin typeface="Symbol"/>
              <a:cs typeface="Arial"/>
            </a:rPr>
            <a:t>·</a:t>
          </a:r>
          <a:r>
            <a:rPr lang="en-US" sz="700" b="0" i="0" u="none" strike="noStrike" baseline="0">
              <a:solidFill>
                <a:srgbClr val="000000"/>
              </a:solidFill>
              <a:latin typeface="Arial"/>
              <a:cs typeface="Arial"/>
            </a:rPr>
            <a:t> FAX (619) 563-2705</a:t>
          </a:r>
          <a:endParaRPr lang="en-US" sz="1200" b="0" i="0" u="none" strike="noStrike" baseline="0">
            <a:solidFill>
              <a:srgbClr val="000000"/>
            </a:solidFill>
            <a:latin typeface="Times New Roman"/>
            <a:cs typeface="Times New Roman"/>
          </a:endParaRPr>
        </a:p>
        <a:p>
          <a:pPr algn="l" rtl="0">
            <a:defRPr sz="1000"/>
          </a:pPr>
          <a:r>
            <a:rPr lang="en-US" sz="700" b="0" i="0" u="none" strike="noStrike" baseline="0">
              <a:solidFill>
                <a:srgbClr val="000000"/>
              </a:solidFill>
              <a:latin typeface="Arial"/>
              <a:cs typeface="Arial"/>
            </a:rPr>
            <a:t> </a:t>
          </a:r>
        </a:p>
      </xdr:txBody>
    </xdr:sp>
    <xdr:clientData/>
  </xdr:twoCellAnchor>
  <xdr:oneCellAnchor>
    <xdr:from>
      <xdr:col>0</xdr:col>
      <xdr:colOff>5867400</xdr:colOff>
      <xdr:row>0</xdr:row>
      <xdr:rowOff>1310640</xdr:rowOff>
    </xdr:from>
    <xdr:ext cx="1913422" cy="387927"/>
    <xdr:sp macro="" textlink="">
      <xdr:nvSpPr>
        <xdr:cNvPr id="4" name="Text Box 6">
          <a:extLst>
            <a:ext uri="{FF2B5EF4-FFF2-40B4-BE49-F238E27FC236}">
              <a16:creationId xmlns:a16="http://schemas.microsoft.com/office/drawing/2014/main" id="{00000000-0008-0000-0000-000004000000}"/>
            </a:ext>
          </a:extLst>
        </xdr:cNvPr>
        <xdr:cNvSpPr txBox="1">
          <a:spLocks noChangeArrowheads="1"/>
        </xdr:cNvSpPr>
      </xdr:nvSpPr>
      <xdr:spPr bwMode="auto">
        <a:xfrm>
          <a:off x="5867400" y="1310640"/>
          <a:ext cx="1913422" cy="38792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45720" tIns="45720" rIns="45720" bIns="45720" anchor="t" upright="1">
          <a:spAutoFit/>
        </a:bodyPr>
        <a:lstStyle/>
        <a:p>
          <a:pPr algn="l" rtl="0">
            <a:defRPr sz="1000"/>
          </a:pPr>
          <a:r>
            <a:rPr lang="en-US" sz="800" b="1" i="0" u="none" strike="noStrike" baseline="0">
              <a:solidFill>
                <a:srgbClr val="000000"/>
              </a:solidFill>
              <a:latin typeface="Arial"/>
              <a:cs typeface="Arial"/>
            </a:rPr>
            <a:t>           LUKE BERGMANN, Ph.D.</a:t>
          </a:r>
          <a:endParaRPr lang="en-US" sz="1200" b="0" i="0" u="none" strike="noStrike" baseline="0">
            <a:solidFill>
              <a:srgbClr val="000000"/>
            </a:solidFill>
            <a:latin typeface="Times New Roman"/>
            <a:cs typeface="Times New Roman"/>
          </a:endParaRPr>
        </a:p>
        <a:p>
          <a:pPr algn="l" rtl="0">
            <a:defRPr sz="1000"/>
          </a:pPr>
          <a:r>
            <a:rPr lang="en-US" sz="600" b="0" i="0" u="none" strike="noStrike" baseline="0">
              <a:solidFill>
                <a:srgbClr val="000000"/>
              </a:solidFill>
              <a:latin typeface="Arial"/>
              <a:cs typeface="Arial"/>
            </a:rPr>
            <a:t>DIRECTOR, BEHAVIORAL HEALTH SERVICES</a:t>
          </a:r>
          <a:endParaRPr lang="en-US" sz="1200" b="0" i="0" u="none" strike="noStrike" baseline="0">
            <a:solidFill>
              <a:srgbClr val="000000"/>
            </a:solidFill>
            <a:latin typeface="Times New Roman"/>
            <a:cs typeface="Times New Roman"/>
          </a:endParaRPr>
        </a:p>
        <a:p>
          <a:pPr algn="l" rtl="0">
            <a:defRPr sz="1000"/>
          </a:pPr>
          <a:r>
            <a:rPr lang="en-US" sz="600" b="0" i="0" u="none" strike="noStrike" baseline="0">
              <a:solidFill>
                <a:srgbClr val="000000"/>
              </a:solidFill>
              <a:latin typeface="Arial"/>
              <a:cs typeface="Arial"/>
            </a:rPr>
            <a:t> </a:t>
          </a:r>
        </a:p>
      </xdr:txBody>
    </xdr:sp>
    <xdr:clientData/>
  </xdr:oneCellAnchor>
  <mc:AlternateContent xmlns:mc="http://schemas.openxmlformats.org/markup-compatibility/2006">
    <mc:Choice xmlns:a14="http://schemas.microsoft.com/office/drawing/2010/main" Requires="a14">
      <xdr:twoCellAnchor>
        <xdr:from>
          <xdr:col>0</xdr:col>
          <xdr:colOff>590550</xdr:colOff>
          <xdr:row>0</xdr:row>
          <xdr:rowOff>9525</xdr:rowOff>
        </xdr:from>
        <xdr:to>
          <xdr:col>0</xdr:col>
          <xdr:colOff>7429500</xdr:colOff>
          <xdr:row>0</xdr:row>
          <xdr:rowOff>1171575</xdr:rowOff>
        </xdr:to>
        <xdr:sp macro="" textlink="">
          <xdr:nvSpPr>
            <xdr:cNvPr id="29698" name="Object 2" hidden="1">
              <a:extLst>
                <a:ext uri="{63B3BB69-23CF-44E3-9099-C40C66FF867C}">
                  <a14:compatExt spid="_x0000_s29698"/>
                </a:ext>
                <a:ext uri="{FF2B5EF4-FFF2-40B4-BE49-F238E27FC236}">
                  <a16:creationId xmlns:a16="http://schemas.microsoft.com/office/drawing/2014/main" id="{00000000-0008-0000-0000-0000027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2053590</xdr:colOff>
      <xdr:row>0</xdr:row>
      <xdr:rowOff>1285240</xdr:rowOff>
    </xdr:from>
    <xdr:to>
      <xdr:col>0</xdr:col>
      <xdr:colOff>5833110</xdr:colOff>
      <xdr:row>0</xdr:row>
      <xdr:rowOff>1993900</xdr:rowOff>
    </xdr:to>
    <xdr:sp macro="" textlink="">
      <xdr:nvSpPr>
        <xdr:cNvPr id="6" name="Text Box 5">
          <a:extLst>
            <a:ext uri="{FF2B5EF4-FFF2-40B4-BE49-F238E27FC236}">
              <a16:creationId xmlns:a16="http://schemas.microsoft.com/office/drawing/2014/main" id="{00000000-0008-0000-0000-000006000000}"/>
            </a:ext>
          </a:extLst>
        </xdr:cNvPr>
        <xdr:cNvSpPr txBox="1">
          <a:spLocks noChangeArrowheads="1"/>
        </xdr:cNvSpPr>
      </xdr:nvSpPr>
      <xdr:spPr bwMode="auto">
        <a:xfrm>
          <a:off x="2053590" y="1285240"/>
          <a:ext cx="377952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45720" tIns="45720" rIns="45720" bIns="45720" anchor="t" upright="1"/>
        <a:lstStyle/>
        <a:p>
          <a:pPr algn="ctr" rtl="0">
            <a:defRPr sz="1000"/>
          </a:pPr>
          <a:r>
            <a:rPr lang="en-US" sz="900" b="0" i="0" u="none" strike="noStrike" baseline="0">
              <a:solidFill>
                <a:srgbClr val="000000"/>
              </a:solidFill>
              <a:latin typeface="Arial"/>
              <a:cs typeface="Arial"/>
            </a:rPr>
            <a:t>HEALTH AND HUMAN SERVICES AGENCY</a:t>
          </a:r>
          <a:endParaRPr lang="en-US" sz="1200" b="0" i="0" u="none" strike="noStrike" baseline="0">
            <a:solidFill>
              <a:srgbClr val="000000"/>
            </a:solidFill>
            <a:latin typeface="Times New Roman"/>
            <a:cs typeface="Times New Roman"/>
          </a:endParaRPr>
        </a:p>
        <a:p>
          <a:pPr algn="ctr" rtl="0">
            <a:defRPr sz="1000"/>
          </a:pPr>
          <a:r>
            <a:rPr lang="en-US" sz="800" b="0" i="0" u="none" strike="noStrike" baseline="0">
              <a:solidFill>
                <a:srgbClr val="000000"/>
              </a:solidFill>
              <a:latin typeface="Arial"/>
              <a:cs typeface="Arial"/>
            </a:rPr>
            <a:t>BEHAVIORAL HEALTH SERVICES</a:t>
          </a:r>
          <a:endParaRPr lang="en-US" sz="1200" b="0" i="0" u="none" strike="noStrike" baseline="0">
            <a:solidFill>
              <a:srgbClr val="000000"/>
            </a:solidFill>
            <a:latin typeface="Times New Roman"/>
            <a:cs typeface="Times New Roman"/>
          </a:endParaRPr>
        </a:p>
        <a:p>
          <a:pPr algn="ctr" rtl="0">
            <a:defRPr sz="1000"/>
          </a:pPr>
          <a:r>
            <a:rPr lang="en-US" sz="700" b="0" i="0" u="none" strike="noStrike" baseline="0">
              <a:solidFill>
                <a:srgbClr val="000000"/>
              </a:solidFill>
              <a:latin typeface="Arial"/>
              <a:cs typeface="Arial"/>
            </a:rPr>
            <a:t>3255 CAMINO DEL RIO SOUTH, MAILSTOP P-531</a:t>
          </a:r>
          <a:endParaRPr lang="en-US" sz="1200" b="0" i="0" u="none" strike="noStrike" baseline="0">
            <a:solidFill>
              <a:srgbClr val="000000"/>
            </a:solidFill>
            <a:latin typeface="Times New Roman"/>
            <a:cs typeface="Times New Roman"/>
          </a:endParaRPr>
        </a:p>
        <a:p>
          <a:pPr algn="ctr" rtl="0">
            <a:defRPr sz="1000"/>
          </a:pPr>
          <a:r>
            <a:rPr lang="en-US" sz="700" b="0" i="0" u="none" strike="noStrike" baseline="0">
              <a:solidFill>
                <a:srgbClr val="000000"/>
              </a:solidFill>
              <a:latin typeface="Arial"/>
              <a:cs typeface="Arial"/>
            </a:rPr>
            <a:t>SAN DIEGO, CALIFORNIA 92108-3806  </a:t>
          </a:r>
          <a:endParaRPr lang="en-US" sz="1200" b="0" i="0" u="none" strike="noStrike" baseline="0">
            <a:solidFill>
              <a:srgbClr val="000000"/>
            </a:solidFill>
            <a:latin typeface="Times New Roman"/>
            <a:cs typeface="Times New Roman"/>
          </a:endParaRPr>
        </a:p>
        <a:p>
          <a:pPr algn="ctr" rtl="0">
            <a:defRPr sz="1000"/>
          </a:pPr>
          <a:r>
            <a:rPr lang="en-US" sz="700" b="0" i="0" u="none" strike="noStrike" baseline="0">
              <a:solidFill>
                <a:srgbClr val="000000"/>
              </a:solidFill>
              <a:latin typeface="Arial"/>
              <a:cs typeface="Arial"/>
            </a:rPr>
            <a:t>(619) 563-2700 </a:t>
          </a:r>
          <a:r>
            <a:rPr lang="en-US" sz="700" b="0" i="0" u="none" strike="noStrike" baseline="0">
              <a:solidFill>
                <a:srgbClr val="000000"/>
              </a:solidFill>
              <a:latin typeface="Symbol"/>
              <a:cs typeface="Arial"/>
            </a:rPr>
            <a:t>·</a:t>
          </a:r>
          <a:r>
            <a:rPr lang="en-US" sz="700" b="0" i="0" u="none" strike="noStrike" baseline="0">
              <a:solidFill>
                <a:srgbClr val="000000"/>
              </a:solidFill>
              <a:latin typeface="Arial"/>
              <a:cs typeface="Arial"/>
            </a:rPr>
            <a:t> FAX (619) 563-2705</a:t>
          </a:r>
          <a:endParaRPr lang="en-US" sz="1200" b="0" i="0" u="none" strike="noStrike" baseline="0">
            <a:solidFill>
              <a:srgbClr val="000000"/>
            </a:solidFill>
            <a:latin typeface="Times New Roman"/>
            <a:cs typeface="Times New Roman"/>
          </a:endParaRPr>
        </a:p>
        <a:p>
          <a:pPr algn="l" rtl="0">
            <a:defRPr sz="1000"/>
          </a:pPr>
          <a:r>
            <a:rPr lang="en-US" sz="700" b="0" i="0" u="none" strike="noStrike" baseline="0">
              <a:solidFill>
                <a:srgbClr val="000000"/>
              </a:solidFill>
              <a:latin typeface="Arial"/>
              <a:cs typeface="Arial"/>
            </a:rPr>
            <a:t> </a:t>
          </a:r>
        </a:p>
      </xdr:txBody>
    </xdr:sp>
    <xdr:clientData/>
  </xdr:twoCellAnchor>
  <xdr:oneCellAnchor>
    <xdr:from>
      <xdr:col>0</xdr:col>
      <xdr:colOff>5867400</xdr:colOff>
      <xdr:row>0</xdr:row>
      <xdr:rowOff>1310640</xdr:rowOff>
    </xdr:from>
    <xdr:ext cx="1913422" cy="387927"/>
    <xdr:sp macro="" textlink="">
      <xdr:nvSpPr>
        <xdr:cNvPr id="7" name="Text Box 6">
          <a:extLst>
            <a:ext uri="{FF2B5EF4-FFF2-40B4-BE49-F238E27FC236}">
              <a16:creationId xmlns:a16="http://schemas.microsoft.com/office/drawing/2014/main" id="{00000000-0008-0000-0000-000007000000}"/>
            </a:ext>
          </a:extLst>
        </xdr:cNvPr>
        <xdr:cNvSpPr txBox="1">
          <a:spLocks noChangeArrowheads="1"/>
        </xdr:cNvSpPr>
      </xdr:nvSpPr>
      <xdr:spPr bwMode="auto">
        <a:xfrm>
          <a:off x="5867400" y="1310640"/>
          <a:ext cx="1913422" cy="38792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45720" tIns="45720" rIns="45720" bIns="45720" anchor="t" upright="1">
          <a:spAutoFit/>
        </a:bodyPr>
        <a:lstStyle/>
        <a:p>
          <a:pPr algn="l" rtl="0">
            <a:defRPr sz="1000"/>
          </a:pPr>
          <a:r>
            <a:rPr lang="en-US" sz="800" b="1" i="0" u="none" strike="noStrike" baseline="0">
              <a:solidFill>
                <a:srgbClr val="000000"/>
              </a:solidFill>
              <a:latin typeface="Arial"/>
              <a:cs typeface="Arial"/>
            </a:rPr>
            <a:t>           LUKE BERGMANN, Ph.D.</a:t>
          </a:r>
          <a:endParaRPr lang="en-US" sz="1200" b="0" i="0" u="none" strike="noStrike" baseline="0">
            <a:solidFill>
              <a:srgbClr val="000000"/>
            </a:solidFill>
            <a:latin typeface="Times New Roman"/>
            <a:cs typeface="Times New Roman"/>
          </a:endParaRPr>
        </a:p>
        <a:p>
          <a:pPr algn="l" rtl="0">
            <a:defRPr sz="1000"/>
          </a:pPr>
          <a:r>
            <a:rPr lang="en-US" sz="600" b="0" i="0" u="none" strike="noStrike" baseline="0">
              <a:solidFill>
                <a:srgbClr val="000000"/>
              </a:solidFill>
              <a:latin typeface="Arial"/>
              <a:cs typeface="Arial"/>
            </a:rPr>
            <a:t>DIRECTOR, BEHAVIORAL HEALTH SERVICES</a:t>
          </a:r>
          <a:endParaRPr lang="en-US" sz="1200" b="0" i="0" u="none" strike="noStrike" baseline="0">
            <a:solidFill>
              <a:srgbClr val="000000"/>
            </a:solidFill>
            <a:latin typeface="Times New Roman"/>
            <a:cs typeface="Times New Roman"/>
          </a:endParaRPr>
        </a:p>
        <a:p>
          <a:pPr algn="l" rtl="0">
            <a:defRPr sz="1000"/>
          </a:pPr>
          <a:r>
            <a:rPr lang="en-US" sz="600" b="0" i="0" u="none" strike="noStrike" baseline="0">
              <a:solidFill>
                <a:srgbClr val="000000"/>
              </a:solidFill>
              <a:latin typeface="Arial"/>
              <a:cs typeface="Arial"/>
            </a:rPr>
            <a:t> </a:t>
          </a:r>
        </a:p>
      </xdr:txBody>
    </xdr:sp>
    <xdr:clientData/>
  </xdr:oneCellAnchor>
  <xdr:twoCellAnchor>
    <xdr:from>
      <xdr:col>0</xdr:col>
      <xdr:colOff>95250</xdr:colOff>
      <xdr:row>0</xdr:row>
      <xdr:rowOff>1323975</xdr:rowOff>
    </xdr:from>
    <xdr:to>
      <xdr:col>0</xdr:col>
      <xdr:colOff>2124075</xdr:colOff>
      <xdr:row>0</xdr:row>
      <xdr:rowOff>1800225</xdr:rowOff>
    </xdr:to>
    <xdr:sp macro="" textlink="">
      <xdr:nvSpPr>
        <xdr:cNvPr id="29699" name="Text Box 2">
          <a:extLst>
            <a:ext uri="{FF2B5EF4-FFF2-40B4-BE49-F238E27FC236}">
              <a16:creationId xmlns:a16="http://schemas.microsoft.com/office/drawing/2014/main" id="{00000000-0008-0000-0000-000003740000}"/>
            </a:ext>
          </a:extLst>
        </xdr:cNvPr>
        <xdr:cNvSpPr txBox="1">
          <a:spLocks noChangeArrowheads="1"/>
        </xdr:cNvSpPr>
      </xdr:nvSpPr>
      <xdr:spPr bwMode="auto">
        <a:xfrm>
          <a:off x="95250" y="1323975"/>
          <a:ext cx="2028825" cy="4762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45720" tIns="45720" rIns="45720" bIns="45720" anchor="t" upright="1"/>
        <a:lstStyle/>
        <a:p>
          <a:pPr algn="l" rtl="0">
            <a:defRPr sz="1000"/>
          </a:pPr>
          <a:r>
            <a:rPr lang="en-US" sz="800" b="1" i="0" u="none" strike="noStrike" baseline="0">
              <a:solidFill>
                <a:srgbClr val="000000"/>
              </a:solidFill>
              <a:latin typeface="Arial"/>
              <a:cs typeface="Arial"/>
            </a:rPr>
            <a:t>ERIC C. MCDONALD, MD, MPH, FACEP</a:t>
          </a:r>
        </a:p>
        <a:p>
          <a:pPr algn="l" rtl="0">
            <a:defRPr sz="1000"/>
          </a:pPr>
          <a:r>
            <a:rPr lang="en-US" sz="600" b="0" i="0" u="none" strike="noStrike" baseline="0">
              <a:solidFill>
                <a:srgbClr val="000000"/>
              </a:solidFill>
              <a:latin typeface="Arial"/>
              <a:cs typeface="Arial"/>
            </a:rPr>
            <a:t>INTERIM AGENCY DIRECTOR</a:t>
          </a:r>
        </a:p>
        <a:p>
          <a:pPr algn="l" rtl="0">
            <a:defRPr sz="1000"/>
          </a:pPr>
          <a:endParaRPr lang="en-US" sz="6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447675</xdr:colOff>
          <xdr:row>0</xdr:row>
          <xdr:rowOff>9525</xdr:rowOff>
        </xdr:from>
        <xdr:to>
          <xdr:col>0</xdr:col>
          <xdr:colOff>7286625</xdr:colOff>
          <xdr:row>0</xdr:row>
          <xdr:rowOff>1171575</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01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1844040</xdr:colOff>
      <xdr:row>0</xdr:row>
      <xdr:rowOff>1310640</xdr:rowOff>
    </xdr:from>
    <xdr:to>
      <xdr:col>0</xdr:col>
      <xdr:colOff>5623560</xdr:colOff>
      <xdr:row>0</xdr:row>
      <xdr:rowOff>2019300</xdr:rowOff>
    </xdr:to>
    <xdr:sp macro="" textlink="">
      <xdr:nvSpPr>
        <xdr:cNvPr id="3" name="Text Box 5">
          <a:extLst>
            <a:ext uri="{FF2B5EF4-FFF2-40B4-BE49-F238E27FC236}">
              <a16:creationId xmlns:a16="http://schemas.microsoft.com/office/drawing/2014/main" id="{00000000-0008-0000-0100-000003000000}"/>
            </a:ext>
          </a:extLst>
        </xdr:cNvPr>
        <xdr:cNvSpPr txBox="1">
          <a:spLocks noChangeArrowheads="1"/>
        </xdr:cNvSpPr>
      </xdr:nvSpPr>
      <xdr:spPr bwMode="auto">
        <a:xfrm>
          <a:off x="1844040" y="1310640"/>
          <a:ext cx="377952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45720" tIns="45720" rIns="45720" bIns="45720" anchor="t" upright="1"/>
        <a:lstStyle/>
        <a:p>
          <a:pPr algn="ctr" rtl="0">
            <a:defRPr sz="1000"/>
          </a:pPr>
          <a:r>
            <a:rPr lang="en-US" sz="900" b="0" i="0" u="none" strike="noStrike" baseline="0">
              <a:solidFill>
                <a:srgbClr val="000000"/>
              </a:solidFill>
              <a:latin typeface="Arial"/>
              <a:cs typeface="Arial"/>
            </a:rPr>
            <a:t>HEALTH AND HUMAN SERVICES AGENCY</a:t>
          </a:r>
          <a:endParaRPr lang="en-US" sz="1200" b="0" i="0" u="none" strike="noStrike" baseline="0">
            <a:solidFill>
              <a:srgbClr val="000000"/>
            </a:solidFill>
            <a:latin typeface="Times New Roman"/>
            <a:cs typeface="Times New Roman"/>
          </a:endParaRPr>
        </a:p>
        <a:p>
          <a:pPr algn="ctr" rtl="0">
            <a:defRPr sz="1000"/>
          </a:pPr>
          <a:r>
            <a:rPr lang="en-US" sz="800" b="0" i="0" u="none" strike="noStrike" baseline="0">
              <a:solidFill>
                <a:srgbClr val="000000"/>
              </a:solidFill>
              <a:latin typeface="Arial"/>
              <a:cs typeface="Arial"/>
            </a:rPr>
            <a:t>BEHAVIORAL HEALTH SERVICES </a:t>
          </a:r>
          <a:endParaRPr lang="en-US" sz="1200" b="0" i="0" u="none" strike="noStrike" baseline="0">
            <a:solidFill>
              <a:srgbClr val="000000"/>
            </a:solidFill>
            <a:latin typeface="Times New Roman"/>
            <a:cs typeface="Times New Roman"/>
          </a:endParaRPr>
        </a:p>
        <a:p>
          <a:pPr algn="ctr" rtl="0">
            <a:defRPr sz="1000"/>
          </a:pPr>
          <a:r>
            <a:rPr lang="en-US" sz="700" b="0" i="0" u="none" strike="noStrike" baseline="0">
              <a:solidFill>
                <a:srgbClr val="000000"/>
              </a:solidFill>
              <a:latin typeface="Arial"/>
              <a:cs typeface="Arial"/>
            </a:rPr>
            <a:t>3255 CAMINO DEL RIO SOUTH, MAILSTOP P-531</a:t>
          </a:r>
          <a:endParaRPr lang="en-US" sz="1200" b="0" i="0" u="none" strike="noStrike" baseline="0">
            <a:solidFill>
              <a:srgbClr val="000000"/>
            </a:solidFill>
            <a:latin typeface="Times New Roman"/>
            <a:cs typeface="Times New Roman"/>
          </a:endParaRPr>
        </a:p>
        <a:p>
          <a:pPr algn="ctr" rtl="0">
            <a:defRPr sz="1000"/>
          </a:pPr>
          <a:r>
            <a:rPr lang="en-US" sz="700" b="0" i="0" u="none" strike="noStrike" baseline="0">
              <a:solidFill>
                <a:srgbClr val="000000"/>
              </a:solidFill>
              <a:latin typeface="Arial"/>
              <a:cs typeface="Arial"/>
            </a:rPr>
            <a:t>SAN DIEGO, CALIFORNIA 92108 -3806 </a:t>
          </a:r>
          <a:endParaRPr lang="en-US" sz="1200" b="0" i="0" u="none" strike="noStrike" baseline="0">
            <a:solidFill>
              <a:srgbClr val="000000"/>
            </a:solidFill>
            <a:latin typeface="Times New Roman"/>
            <a:cs typeface="Times New Roman"/>
          </a:endParaRPr>
        </a:p>
        <a:p>
          <a:pPr algn="ctr" rtl="0">
            <a:defRPr sz="1000"/>
          </a:pPr>
          <a:r>
            <a:rPr lang="en-US" sz="700" b="0" i="0" u="none" strike="noStrike" baseline="0">
              <a:solidFill>
                <a:srgbClr val="000000"/>
              </a:solidFill>
              <a:latin typeface="Arial"/>
              <a:cs typeface="Arial"/>
            </a:rPr>
            <a:t>(619) 563-2700 </a:t>
          </a:r>
          <a:r>
            <a:rPr lang="en-US" sz="700" b="0" i="0" u="none" strike="noStrike" baseline="0">
              <a:solidFill>
                <a:srgbClr val="000000"/>
              </a:solidFill>
              <a:latin typeface="Symbol"/>
              <a:cs typeface="Arial"/>
            </a:rPr>
            <a:t>·</a:t>
          </a:r>
          <a:r>
            <a:rPr lang="en-US" sz="700" b="0" i="0" u="none" strike="noStrike" baseline="0">
              <a:solidFill>
                <a:srgbClr val="000000"/>
              </a:solidFill>
              <a:latin typeface="Arial"/>
              <a:cs typeface="Arial"/>
            </a:rPr>
            <a:t> FAX (619) 563-2705</a:t>
          </a:r>
          <a:endParaRPr lang="en-US" sz="1200" b="0" i="0" u="none" strike="noStrike" baseline="0">
            <a:solidFill>
              <a:srgbClr val="000000"/>
            </a:solidFill>
            <a:latin typeface="Times New Roman"/>
            <a:cs typeface="Times New Roman"/>
          </a:endParaRPr>
        </a:p>
        <a:p>
          <a:pPr algn="l" rtl="0">
            <a:defRPr sz="1000"/>
          </a:pPr>
          <a:r>
            <a:rPr lang="en-US" sz="700" b="0" i="0" u="none" strike="noStrike" baseline="0">
              <a:solidFill>
                <a:srgbClr val="000000"/>
              </a:solidFill>
              <a:latin typeface="Arial"/>
              <a:cs typeface="Arial"/>
            </a:rPr>
            <a:t> </a:t>
          </a:r>
        </a:p>
      </xdr:txBody>
    </xdr:sp>
    <xdr:clientData/>
  </xdr:twoCellAnchor>
  <xdr:oneCellAnchor>
    <xdr:from>
      <xdr:col>0</xdr:col>
      <xdr:colOff>5791200</xdr:colOff>
      <xdr:row>0</xdr:row>
      <xdr:rowOff>1303020</xdr:rowOff>
    </xdr:from>
    <xdr:ext cx="2027722" cy="387927"/>
    <xdr:sp macro="" textlink="">
      <xdr:nvSpPr>
        <xdr:cNvPr id="4" name="Text Box 6">
          <a:extLst>
            <a:ext uri="{FF2B5EF4-FFF2-40B4-BE49-F238E27FC236}">
              <a16:creationId xmlns:a16="http://schemas.microsoft.com/office/drawing/2014/main" id="{00000000-0008-0000-0100-000004000000}"/>
            </a:ext>
          </a:extLst>
        </xdr:cNvPr>
        <xdr:cNvSpPr txBox="1">
          <a:spLocks noChangeArrowheads="1"/>
        </xdr:cNvSpPr>
      </xdr:nvSpPr>
      <xdr:spPr bwMode="auto">
        <a:xfrm>
          <a:off x="5791200" y="1303020"/>
          <a:ext cx="2027722" cy="38792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45720" tIns="45720" rIns="45720" bIns="45720" anchor="t" upright="1">
          <a:spAutoFit/>
        </a:bodyPr>
        <a:lstStyle/>
        <a:p>
          <a:pPr algn="l" rtl="0">
            <a:defRPr sz="1000"/>
          </a:pPr>
          <a:r>
            <a:rPr lang="en-US" sz="800" b="1" i="0" u="none" strike="noStrike" baseline="0">
              <a:solidFill>
                <a:srgbClr val="000000"/>
              </a:solidFill>
              <a:latin typeface="Arial"/>
              <a:cs typeface="Arial"/>
            </a:rPr>
            <a:t>            LUKE BERGMANN, Ph.D.</a:t>
          </a:r>
        </a:p>
        <a:p>
          <a:pPr algn="l" rtl="0">
            <a:defRPr sz="1000"/>
          </a:pPr>
          <a:r>
            <a:rPr lang="en-US" sz="600" b="0" i="0" u="none" strike="noStrike" baseline="0">
              <a:solidFill>
                <a:srgbClr val="000000"/>
              </a:solidFill>
              <a:latin typeface="Arial"/>
              <a:cs typeface="Arial"/>
            </a:rPr>
            <a:t>DIRECTOR, BEHAVIORAL HEALTH SERVICES</a:t>
          </a:r>
          <a:endParaRPr lang="en-US" sz="1200" b="0" i="0" u="none" strike="noStrike" baseline="0">
            <a:solidFill>
              <a:srgbClr val="000000"/>
            </a:solidFill>
            <a:latin typeface="Times New Roman"/>
            <a:cs typeface="Times New Roman"/>
          </a:endParaRPr>
        </a:p>
        <a:p>
          <a:pPr algn="l" rtl="0">
            <a:defRPr sz="1000"/>
          </a:pPr>
          <a:r>
            <a:rPr lang="en-US" sz="600" b="0" i="0" u="none" strike="noStrike" baseline="0">
              <a:solidFill>
                <a:srgbClr val="000000"/>
              </a:solidFill>
              <a:latin typeface="Arial"/>
              <a:cs typeface="Arial"/>
            </a:rPr>
            <a:t> </a:t>
          </a:r>
        </a:p>
      </xdr:txBody>
    </xdr:sp>
    <xdr:clientData/>
  </xdr:oneCellAnchor>
  <mc:AlternateContent xmlns:mc="http://schemas.openxmlformats.org/markup-compatibility/2006">
    <mc:Choice xmlns:a14="http://schemas.microsoft.com/office/drawing/2010/main" Requires="a14">
      <xdr:twoCellAnchor>
        <xdr:from>
          <xdr:col>0</xdr:col>
          <xdr:colOff>447675</xdr:colOff>
          <xdr:row>0</xdr:row>
          <xdr:rowOff>9525</xdr:rowOff>
        </xdr:from>
        <xdr:to>
          <xdr:col>0</xdr:col>
          <xdr:colOff>7286625</xdr:colOff>
          <xdr:row>0</xdr:row>
          <xdr:rowOff>1171575</xdr:rowOff>
        </xdr:to>
        <xdr:sp macro="" textlink="">
          <xdr:nvSpPr>
            <xdr:cNvPr id="30722" name="Object 2" hidden="1">
              <a:extLst>
                <a:ext uri="{63B3BB69-23CF-44E3-9099-C40C66FF867C}">
                  <a14:compatExt spid="_x0000_s30722"/>
                </a:ext>
                <a:ext uri="{FF2B5EF4-FFF2-40B4-BE49-F238E27FC236}">
                  <a16:creationId xmlns:a16="http://schemas.microsoft.com/office/drawing/2014/main" id="{00000000-0008-0000-0100-000002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1844040</xdr:colOff>
      <xdr:row>0</xdr:row>
      <xdr:rowOff>1310640</xdr:rowOff>
    </xdr:from>
    <xdr:to>
      <xdr:col>0</xdr:col>
      <xdr:colOff>5623560</xdr:colOff>
      <xdr:row>0</xdr:row>
      <xdr:rowOff>2019300</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1844040" y="1310640"/>
          <a:ext cx="377952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45720" tIns="45720" rIns="45720" bIns="45720" anchor="t" upright="1"/>
        <a:lstStyle/>
        <a:p>
          <a:pPr algn="ctr" rtl="0">
            <a:defRPr sz="1000"/>
          </a:pPr>
          <a:r>
            <a:rPr lang="en-US" sz="900" b="0" i="0" u="none" strike="noStrike" baseline="0">
              <a:solidFill>
                <a:srgbClr val="000000"/>
              </a:solidFill>
              <a:latin typeface="Arial"/>
              <a:cs typeface="Arial"/>
            </a:rPr>
            <a:t>HEALTH AND HUMAN SERVICES AGENCY</a:t>
          </a:r>
          <a:endParaRPr lang="en-US" sz="1200" b="0" i="0" u="none" strike="noStrike" baseline="0">
            <a:solidFill>
              <a:srgbClr val="000000"/>
            </a:solidFill>
            <a:latin typeface="Times New Roman"/>
            <a:cs typeface="Times New Roman"/>
          </a:endParaRPr>
        </a:p>
        <a:p>
          <a:pPr algn="ctr" rtl="0">
            <a:defRPr sz="1000"/>
          </a:pPr>
          <a:r>
            <a:rPr lang="en-US" sz="800" b="0" i="0" u="none" strike="noStrike" baseline="0">
              <a:solidFill>
                <a:srgbClr val="000000"/>
              </a:solidFill>
              <a:latin typeface="Arial"/>
              <a:cs typeface="Arial"/>
            </a:rPr>
            <a:t>BEHAVIORAL HEALTH SERVICES </a:t>
          </a:r>
          <a:endParaRPr lang="en-US" sz="1200" b="0" i="0" u="none" strike="noStrike" baseline="0">
            <a:solidFill>
              <a:srgbClr val="000000"/>
            </a:solidFill>
            <a:latin typeface="Times New Roman"/>
            <a:cs typeface="Times New Roman"/>
          </a:endParaRPr>
        </a:p>
        <a:p>
          <a:pPr algn="ctr" rtl="0">
            <a:defRPr sz="1000"/>
          </a:pPr>
          <a:r>
            <a:rPr lang="en-US" sz="700" b="0" i="0" u="none" strike="noStrike" baseline="0">
              <a:solidFill>
                <a:srgbClr val="000000"/>
              </a:solidFill>
              <a:latin typeface="Arial"/>
              <a:cs typeface="Arial"/>
            </a:rPr>
            <a:t>3255 CAMINO DEL RIO SOUTH, MAILSTOP P-531</a:t>
          </a:r>
          <a:endParaRPr lang="en-US" sz="1200" b="0" i="0" u="none" strike="noStrike" baseline="0">
            <a:solidFill>
              <a:srgbClr val="000000"/>
            </a:solidFill>
            <a:latin typeface="Times New Roman"/>
            <a:cs typeface="Times New Roman"/>
          </a:endParaRPr>
        </a:p>
        <a:p>
          <a:pPr algn="ctr" rtl="0">
            <a:defRPr sz="1000"/>
          </a:pPr>
          <a:r>
            <a:rPr lang="en-US" sz="700" b="0" i="0" u="none" strike="noStrike" baseline="0">
              <a:solidFill>
                <a:srgbClr val="000000"/>
              </a:solidFill>
              <a:latin typeface="Arial"/>
              <a:cs typeface="Arial"/>
            </a:rPr>
            <a:t>SAN DIEGO, CALIFORNIA 92108 -3806 </a:t>
          </a:r>
          <a:endParaRPr lang="en-US" sz="1200" b="0" i="0" u="none" strike="noStrike" baseline="0">
            <a:solidFill>
              <a:srgbClr val="000000"/>
            </a:solidFill>
            <a:latin typeface="Times New Roman"/>
            <a:cs typeface="Times New Roman"/>
          </a:endParaRPr>
        </a:p>
        <a:p>
          <a:pPr algn="ctr" rtl="0">
            <a:defRPr sz="1000"/>
          </a:pPr>
          <a:r>
            <a:rPr lang="en-US" sz="700" b="0" i="0" u="none" strike="noStrike" baseline="0">
              <a:solidFill>
                <a:srgbClr val="000000"/>
              </a:solidFill>
              <a:latin typeface="Arial"/>
              <a:cs typeface="Arial"/>
            </a:rPr>
            <a:t>(619) 563-2700 </a:t>
          </a:r>
          <a:r>
            <a:rPr lang="en-US" sz="700" b="0" i="0" u="none" strike="noStrike" baseline="0">
              <a:solidFill>
                <a:srgbClr val="000000"/>
              </a:solidFill>
              <a:latin typeface="Symbol"/>
              <a:cs typeface="Arial"/>
            </a:rPr>
            <a:t>·</a:t>
          </a:r>
          <a:r>
            <a:rPr lang="en-US" sz="700" b="0" i="0" u="none" strike="noStrike" baseline="0">
              <a:solidFill>
                <a:srgbClr val="000000"/>
              </a:solidFill>
              <a:latin typeface="Arial"/>
              <a:cs typeface="Arial"/>
            </a:rPr>
            <a:t> FAX (619) 563-2705</a:t>
          </a:r>
          <a:endParaRPr lang="en-US" sz="1200" b="0" i="0" u="none" strike="noStrike" baseline="0">
            <a:solidFill>
              <a:srgbClr val="000000"/>
            </a:solidFill>
            <a:latin typeface="Times New Roman"/>
            <a:cs typeface="Times New Roman"/>
          </a:endParaRPr>
        </a:p>
        <a:p>
          <a:pPr algn="l" rtl="0">
            <a:defRPr sz="1000"/>
          </a:pPr>
          <a:r>
            <a:rPr lang="en-US" sz="700" b="0" i="0" u="none" strike="noStrike" baseline="0">
              <a:solidFill>
                <a:srgbClr val="000000"/>
              </a:solidFill>
              <a:latin typeface="Arial"/>
              <a:cs typeface="Arial"/>
            </a:rPr>
            <a:t> </a:t>
          </a:r>
        </a:p>
      </xdr:txBody>
    </xdr:sp>
    <xdr:clientData/>
  </xdr:twoCellAnchor>
  <xdr:oneCellAnchor>
    <xdr:from>
      <xdr:col>0</xdr:col>
      <xdr:colOff>5791200</xdr:colOff>
      <xdr:row>0</xdr:row>
      <xdr:rowOff>1303020</xdr:rowOff>
    </xdr:from>
    <xdr:ext cx="2027722" cy="387927"/>
    <xdr:sp macro="" textlink="">
      <xdr:nvSpPr>
        <xdr:cNvPr id="7" name="Text Box 6">
          <a:extLst>
            <a:ext uri="{FF2B5EF4-FFF2-40B4-BE49-F238E27FC236}">
              <a16:creationId xmlns:a16="http://schemas.microsoft.com/office/drawing/2014/main" id="{00000000-0008-0000-0100-000007000000}"/>
            </a:ext>
          </a:extLst>
        </xdr:cNvPr>
        <xdr:cNvSpPr txBox="1">
          <a:spLocks noChangeArrowheads="1"/>
        </xdr:cNvSpPr>
      </xdr:nvSpPr>
      <xdr:spPr bwMode="auto">
        <a:xfrm>
          <a:off x="5791200" y="1303020"/>
          <a:ext cx="2027722" cy="38792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45720" tIns="45720" rIns="45720" bIns="45720" anchor="t" upright="1">
          <a:spAutoFit/>
        </a:bodyPr>
        <a:lstStyle/>
        <a:p>
          <a:pPr algn="l" rtl="0">
            <a:defRPr sz="1000"/>
          </a:pPr>
          <a:r>
            <a:rPr lang="en-US" sz="800" b="1" i="0" u="none" strike="noStrike" baseline="0">
              <a:solidFill>
                <a:srgbClr val="000000"/>
              </a:solidFill>
              <a:latin typeface="Arial"/>
              <a:cs typeface="Arial"/>
            </a:rPr>
            <a:t>            LUKE BERGMANN, Ph.D.</a:t>
          </a:r>
        </a:p>
        <a:p>
          <a:pPr algn="l" rtl="0">
            <a:defRPr sz="1000"/>
          </a:pPr>
          <a:r>
            <a:rPr lang="en-US" sz="600" b="0" i="0" u="none" strike="noStrike" baseline="0">
              <a:solidFill>
                <a:srgbClr val="000000"/>
              </a:solidFill>
              <a:latin typeface="Arial"/>
              <a:cs typeface="Arial"/>
            </a:rPr>
            <a:t>DIRECTOR, BEHAVIORAL HEALTH SERVICES</a:t>
          </a:r>
          <a:endParaRPr lang="en-US" sz="1200" b="0" i="0" u="none" strike="noStrike" baseline="0">
            <a:solidFill>
              <a:srgbClr val="000000"/>
            </a:solidFill>
            <a:latin typeface="Times New Roman"/>
            <a:cs typeface="Times New Roman"/>
          </a:endParaRPr>
        </a:p>
        <a:p>
          <a:pPr algn="l" rtl="0">
            <a:defRPr sz="1000"/>
          </a:pPr>
          <a:r>
            <a:rPr lang="en-US" sz="600" b="0" i="0" u="none" strike="noStrike" baseline="0">
              <a:solidFill>
                <a:srgbClr val="000000"/>
              </a:solidFill>
              <a:latin typeface="Arial"/>
              <a:cs typeface="Arial"/>
            </a:rPr>
            <a:t> </a:t>
          </a:r>
        </a:p>
      </xdr:txBody>
    </xdr:sp>
    <xdr:clientData/>
  </xdr:oneCellAnchor>
  <xdr:twoCellAnchor>
    <xdr:from>
      <xdr:col>0</xdr:col>
      <xdr:colOff>85725</xdr:colOff>
      <xdr:row>0</xdr:row>
      <xdr:rowOff>1304925</xdr:rowOff>
    </xdr:from>
    <xdr:to>
      <xdr:col>0</xdr:col>
      <xdr:colOff>2114550</xdr:colOff>
      <xdr:row>0</xdr:row>
      <xdr:rowOff>1781175</xdr:rowOff>
    </xdr:to>
    <xdr:sp macro="" textlink="">
      <xdr:nvSpPr>
        <xdr:cNvPr id="30723" name="Text Box 2">
          <a:extLst>
            <a:ext uri="{FF2B5EF4-FFF2-40B4-BE49-F238E27FC236}">
              <a16:creationId xmlns:a16="http://schemas.microsoft.com/office/drawing/2014/main" id="{00000000-0008-0000-0100-000003780000}"/>
            </a:ext>
          </a:extLst>
        </xdr:cNvPr>
        <xdr:cNvSpPr txBox="1">
          <a:spLocks noChangeArrowheads="1"/>
        </xdr:cNvSpPr>
      </xdr:nvSpPr>
      <xdr:spPr bwMode="auto">
        <a:xfrm>
          <a:off x="85725" y="1304925"/>
          <a:ext cx="2028825" cy="4762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45720" tIns="45720" rIns="45720" bIns="45720" anchor="t" upright="1"/>
        <a:lstStyle/>
        <a:p>
          <a:pPr algn="l" rtl="0">
            <a:defRPr sz="1000"/>
          </a:pPr>
          <a:r>
            <a:rPr lang="en-US" sz="800" b="1" i="0" u="none" strike="noStrike" baseline="0">
              <a:solidFill>
                <a:srgbClr val="000000"/>
              </a:solidFill>
              <a:latin typeface="Arial"/>
              <a:cs typeface="Arial"/>
            </a:rPr>
            <a:t>ERIC C. MCDONALD, MD, MPH, FACEP</a:t>
          </a:r>
        </a:p>
        <a:p>
          <a:pPr algn="l" rtl="0">
            <a:defRPr sz="1000"/>
          </a:pPr>
          <a:r>
            <a:rPr lang="en-US" sz="600" b="0" i="0" u="none" strike="noStrike" baseline="0">
              <a:solidFill>
                <a:srgbClr val="000000"/>
              </a:solidFill>
              <a:latin typeface="Arial"/>
              <a:cs typeface="Arial"/>
            </a:rPr>
            <a:t>INTERIM AGENCY DIRECTOR</a:t>
          </a:r>
        </a:p>
        <a:p>
          <a:pPr algn="l" rtl="0">
            <a:defRPr sz="1000"/>
          </a:pPr>
          <a:endParaRPr lang="en-US" sz="600" b="0" i="0" u="none" strike="noStrike" baseline="0">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295275</xdr:colOff>
      <xdr:row>33</xdr:row>
      <xdr:rowOff>66675</xdr:rowOff>
    </xdr:from>
    <xdr:to>
      <xdr:col>12</xdr:col>
      <xdr:colOff>514350</xdr:colOff>
      <xdr:row>46</xdr:row>
      <xdr:rowOff>104775</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79</xdr:row>
      <xdr:rowOff>38100</xdr:rowOff>
    </xdr:from>
    <xdr:to>
      <xdr:col>7</xdr:col>
      <xdr:colOff>3208867</xdr:colOff>
      <xdr:row>115</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19125" y="14963775"/>
          <a:ext cx="10295467" cy="5791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BHS\AMH\QI\Program%20Folders\A-OA%20Programs\UPAC%20-%2000131\UPAC%20Promise%20Wellness%20Center%20-%203762\MRR%20-%20FY%2023-24\FY%2023-24%20MRR%20Tool%20-%20UPAC%20Promise%20Wellness%20Center%20-%2007.28.23.xlsx" TargetMode="External"/><Relationship Id="rId1" Type="http://schemas.openxmlformats.org/officeDocument/2006/relationships/externalLinkPath" Target="file:///S:\BHS\AMH\QI\Program%20Folders\A-OA%20Programs\UPAC%20-%2000131\UPAC%20Promise%20Wellness%20Center%20-%203762\MRR%20-%20FY%2023-24\FY%2023-24%20MRR%20Tool%20-%20UPAC%20Promise%20Wellness%20Center%20-%2007.28.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BHS\AMH\QI\Tesra's%20Work%20Folder\MRR%20Reports\Tool%20Updates\MRR%20Tool%20-%20FY%2023-24%20-%20Draft%20-%205-23-23.xlsx" TargetMode="External"/><Relationship Id="rId1" Type="http://schemas.openxmlformats.org/officeDocument/2006/relationships/externalLinkPath" Target="https://sdcountycagov-my.sharepoint.com/BHS/AMH/QI/Tesra's%20Work%20Folder/MRR%20Reports/Tool%20Updates/MRR%20Tool%20-%20FY%2023-24%20-%20Draft%20-%205-23-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firm Ltr "/>
      <sheetName val="Results Ltr"/>
      <sheetName val="Chart Review Info"/>
      <sheetName val="Review Results"/>
      <sheetName val="Services Change Summary"/>
      <sheetName val="Provider Compliance"/>
      <sheetName val="Tes Notes"/>
      <sheetName val="Validations"/>
      <sheetName val="Data"/>
      <sheetName val="Data - Results"/>
      <sheetName val="Additional Services"/>
      <sheetName val="Client 1"/>
      <sheetName val="Client 2"/>
      <sheetName val="Client 3"/>
      <sheetName val="Client 4"/>
      <sheetName val="Client 5"/>
      <sheetName val="Client 6"/>
      <sheetName val="Client 7"/>
      <sheetName val="Client 8"/>
      <sheetName val="Client 9"/>
      <sheetName val="Client 10"/>
      <sheetName val="Client 11"/>
      <sheetName val="Client 12"/>
      <sheetName val="Client 13"/>
      <sheetName val="Client 14"/>
      <sheetName val="Client 15"/>
      <sheetName val="Client 16"/>
      <sheetName val="Client 17"/>
      <sheetName val="Client 18"/>
      <sheetName val="Client 19"/>
      <sheetName val="Client 20"/>
      <sheetName val="Pharmaceutical Review"/>
      <sheetName val="FY 23-24 MRR Tool - UPAC Promis"/>
    </sheetNames>
    <sheetDataSet>
      <sheetData sheetId="0"/>
      <sheetData sheetId="1"/>
      <sheetData sheetId="2">
        <row r="14">
          <cell r="C14">
            <v>200271522</v>
          </cell>
          <cell r="D14" t="str">
            <v>NGUYEN, VICTOR</v>
          </cell>
          <cell r="F14" t="str">
            <v>Liliana Cerrillo</v>
          </cell>
        </row>
        <row r="15">
          <cell r="C15">
            <v>100194962</v>
          </cell>
          <cell r="D15" t="str">
            <v>ADELL, KEON</v>
          </cell>
          <cell r="F15" t="str">
            <v>Liliana Cerrillo</v>
          </cell>
        </row>
        <row r="16">
          <cell r="C16">
            <v>200046911</v>
          </cell>
          <cell r="D16" t="str">
            <v>ONTIVEROS, LAUREN</v>
          </cell>
          <cell r="F16" t="str">
            <v>Liliana Cerrillo</v>
          </cell>
        </row>
        <row r="17">
          <cell r="C17">
            <v>200234075</v>
          </cell>
          <cell r="D17" t="str">
            <v>MARRERO, JANETTE</v>
          </cell>
          <cell r="F17" t="str">
            <v>Liliana Cerrillo</v>
          </cell>
        </row>
        <row r="18">
          <cell r="C18">
            <v>200288754</v>
          </cell>
          <cell r="D18" t="str">
            <v>LEITER, ADRIEANNA</v>
          </cell>
          <cell r="F18" t="str">
            <v>Liliana Cerrillo</v>
          </cell>
        </row>
        <row r="19">
          <cell r="C19">
            <v>200293399</v>
          </cell>
          <cell r="D19" t="str">
            <v>QUINTERO, ALEXANDER</v>
          </cell>
          <cell r="F19" t="str">
            <v>Liliana Cerrillo</v>
          </cell>
        </row>
        <row r="20">
          <cell r="C20">
            <v>100179496</v>
          </cell>
          <cell r="D20" t="str">
            <v>HUFFMAN, JACQUELINE AMBER</v>
          </cell>
          <cell r="F20" t="str">
            <v>Liliana Cerrillo</v>
          </cell>
        </row>
        <row r="21">
          <cell r="C21">
            <v>200230545</v>
          </cell>
          <cell r="D21" t="str">
            <v>LONG, RYAN</v>
          </cell>
          <cell r="F21" t="str">
            <v>Liliana Cerrillo</v>
          </cell>
        </row>
        <row r="22">
          <cell r="C22">
            <v>200153928</v>
          </cell>
          <cell r="D22" t="str">
            <v>HOLLIDAY, DETRA</v>
          </cell>
          <cell r="F22" t="str">
            <v>Liliana Cerrillo</v>
          </cell>
        </row>
        <row r="23">
          <cell r="C23">
            <v>200117138</v>
          </cell>
          <cell r="D23" t="str">
            <v>THOMPSON, VICKY L</v>
          </cell>
          <cell r="F23" t="str">
            <v>Liliana Cerrillo</v>
          </cell>
        </row>
        <row r="24">
          <cell r="C24" t="str">
            <v>N/A</v>
          </cell>
        </row>
        <row r="25">
          <cell r="C25" t="str">
            <v>N/A</v>
          </cell>
        </row>
        <row r="26">
          <cell r="C26" t="str">
            <v>N/A</v>
          </cell>
        </row>
        <row r="27">
          <cell r="C27" t="str">
            <v>N/A</v>
          </cell>
        </row>
        <row r="28">
          <cell r="C28" t="str">
            <v>N/A</v>
          </cell>
        </row>
        <row r="29">
          <cell r="C29" t="str">
            <v>N/A</v>
          </cell>
        </row>
        <row r="30">
          <cell r="C30" t="str">
            <v>N/A</v>
          </cell>
        </row>
        <row r="31">
          <cell r="C31" t="str">
            <v>N/A</v>
          </cell>
        </row>
        <row r="32">
          <cell r="C32" t="str">
            <v>N/A</v>
          </cell>
        </row>
        <row r="33">
          <cell r="C33" t="str">
            <v>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rt Review Info"/>
      <sheetName val="Review Results"/>
      <sheetName val="Services Change Summary"/>
      <sheetName val="Tes Notes"/>
      <sheetName val="Tes Additions"/>
      <sheetName val="Validations"/>
      <sheetName val="Data"/>
      <sheetName val="Client 1"/>
      <sheetName val="Client 2"/>
      <sheetName val="Client 3"/>
      <sheetName val="Client 4"/>
      <sheetName val="Client 5"/>
      <sheetName val="Client 6"/>
      <sheetName val="Client 7"/>
      <sheetName val="Client 8"/>
      <sheetName val="Client 9"/>
      <sheetName val="Client 10"/>
      <sheetName val="Client 11"/>
      <sheetName val="Client 12"/>
      <sheetName val="Client 13"/>
      <sheetName val="Client 14"/>
      <sheetName val="Client 15"/>
      <sheetName val="Client 16"/>
      <sheetName val="Client 17"/>
      <sheetName val="Client 18"/>
      <sheetName val="Client 19"/>
      <sheetName val="Client 20"/>
      <sheetName val="MRR Tool - FY 23-24 - Draft - 5"/>
    </sheetNames>
    <sheetDataSet>
      <sheetData sheetId="0">
        <row r="3">
          <cell r="D3" t="str">
            <v>CRF</v>
          </cell>
        </row>
        <row r="4">
          <cell r="D4" t="str">
            <v>Turning Point</v>
          </cell>
          <cell r="H4">
            <v>44927</v>
          </cell>
        </row>
        <row r="5">
          <cell r="D5">
            <v>56</v>
          </cell>
          <cell r="H5">
            <v>44985</v>
          </cell>
        </row>
        <row r="11">
          <cell r="C11">
            <v>99999</v>
          </cell>
          <cell r="D11" t="str">
            <v>Doe, John</v>
          </cell>
        </row>
        <row r="12">
          <cell r="C12">
            <v>888888</v>
          </cell>
          <cell r="D12" t="str">
            <v>Mouse, Mickey</v>
          </cell>
        </row>
        <row r="13">
          <cell r="C13">
            <v>12345</v>
          </cell>
          <cell r="D13" t="str">
            <v>Tester, Tina</v>
          </cell>
        </row>
        <row r="14">
          <cell r="C14">
            <v>87654</v>
          </cell>
          <cell r="D14" t="str">
            <v>Flower, May</v>
          </cell>
        </row>
        <row r="15">
          <cell r="C15">
            <v>98706</v>
          </cell>
          <cell r="D15" t="str">
            <v>Cloud, Rain</v>
          </cell>
        </row>
        <row r="16">
          <cell r="C16">
            <v>877665</v>
          </cell>
          <cell r="D16" t="str">
            <v>Day, Cloudy</v>
          </cell>
        </row>
        <row r="17">
          <cell r="C17">
            <v>65482</v>
          </cell>
          <cell r="D17" t="str">
            <v>Breeze, Summer</v>
          </cell>
        </row>
        <row r="18">
          <cell r="C18">
            <v>852156</v>
          </cell>
          <cell r="D18" t="str">
            <v>Fall, Stormy</v>
          </cell>
        </row>
        <row r="19">
          <cell r="C19" t="str">
            <v>N/A</v>
          </cell>
        </row>
        <row r="20">
          <cell r="C20" t="str">
            <v>N/A</v>
          </cell>
        </row>
        <row r="21">
          <cell r="C21" t="str">
            <v>N/A</v>
          </cell>
        </row>
        <row r="22">
          <cell r="C22" t="str">
            <v>N/A</v>
          </cell>
        </row>
        <row r="23">
          <cell r="C23" t="str">
            <v>N/A</v>
          </cell>
        </row>
        <row r="24">
          <cell r="C24" t="str">
            <v>N/A</v>
          </cell>
        </row>
        <row r="25">
          <cell r="C25" t="str">
            <v>N/A</v>
          </cell>
        </row>
        <row r="26">
          <cell r="C26" t="str">
            <v>N/A</v>
          </cell>
        </row>
        <row r="27">
          <cell r="C27" t="str">
            <v>N/A</v>
          </cell>
        </row>
        <row r="28">
          <cell r="C28" t="str">
            <v>N/A</v>
          </cell>
        </row>
        <row r="29">
          <cell r="C29" t="str">
            <v>N/A</v>
          </cell>
        </row>
        <row r="30">
          <cell r="C30" t="str">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dmayer, Tesra (Contractor)" refreshedDate="45117.350739583337" createdVersion="8" refreshedVersion="8" minRefreshableVersion="3" recordCount="601" xr:uid="{91628769-AEDD-4BBA-B800-ED98877A7863}">
  <cacheSource type="worksheet">
    <worksheetSource name="ADDENDUM"/>
  </cacheSource>
  <cacheFields count="16">
    <cacheField name="Client" numFmtId="0">
      <sharedItems containsSemiMixedTypes="0" containsString="0" containsNumber="1" containsInteger="1" minValue="1" maxValue="21"/>
    </cacheField>
    <cacheField name=" Client #" numFmtId="0">
      <sharedItems containsSemiMixedTypes="0" containsString="0" containsNumber="1" containsInteger="1" minValue="0" maxValue="0" count="1">
        <n v="0"/>
      </sharedItems>
    </cacheField>
    <cacheField name="Provider ID" numFmtId="0">
      <sharedItems containsSemiMixedTypes="0" containsString="0" containsNumber="1" containsInteger="1" minValue="0" maxValue="23542354" count="48">
        <n v="0"/>
        <n v="555" u="1"/>
        <n v="1596" u="1"/>
        <n v="222" u="1"/>
        <n v="1118" u="1"/>
        <n v="23423" u="1"/>
        <n v="1234" u="1"/>
        <n v="9512" u="1"/>
        <n v="1111" u="1"/>
        <n v="6514" u="1"/>
        <n v="333" u="1"/>
        <n v="2342" u="1"/>
        <n v="3213" u="1"/>
        <n v="2115" u="1"/>
        <n v="23542354" u="1"/>
        <n v="999" u="1"/>
        <n v="1116" u="1"/>
        <n v="4561" u="1"/>
        <n v="9876" u="1"/>
        <n v="2111" u="1"/>
        <n v="1011" u="1"/>
        <n v="1211" u="1"/>
        <n v="3001" u="1"/>
        <n v="1114" u="1"/>
        <n v="111" u="1"/>
        <n v="888" u="1"/>
        <n v="3574" u="1"/>
        <n v="6541" u="1"/>
        <n v="1119" u="1"/>
        <n v="123" u="1"/>
        <n v="1112" u="1"/>
        <n v="1254" u="1"/>
        <n v="346346" u="1"/>
        <n v="4568" u="1"/>
        <n v="8541" u="1"/>
        <n v="3002" u="1"/>
        <n v="654" u="1"/>
        <n v="12344" u="1"/>
        <n v="5871" u="1"/>
        <n v="444" u="1"/>
        <n v="122" u="1"/>
        <n v="3481" u="1"/>
        <n v="2222" u="1"/>
        <n v="1598" u="1"/>
        <n v="1120" u="1"/>
        <n v="1236" u="1"/>
        <n v="1113" u="1"/>
        <n v="4567" u="1"/>
      </sharedItems>
    </cacheField>
    <cacheField name="Service Code" numFmtId="0">
      <sharedItems containsSemiMixedTypes="0" containsString="0" containsNumber="1" containsInteger="1" minValue="0" maxValue="7532" count="39">
        <n v="0"/>
        <n v="555" u="1"/>
        <n v="658" u="1"/>
        <n v="222" u="1"/>
        <n v="1234" u="1"/>
        <n v="333" u="1"/>
        <n v="741" u="1"/>
        <n v="1258" u="1"/>
        <n v="16" u="1"/>
        <n v="934" u="1"/>
        <n v="199" u="1"/>
        <n v="17" u="1"/>
        <n v="682" u="1"/>
        <n v="753" u="1"/>
        <n v="18" u="1"/>
        <n v="111" u="1"/>
        <n v="19" u="1"/>
        <n v="7" u="1"/>
        <n v="20" u="1"/>
        <n v="21" u="1"/>
        <n v="1235" u="1"/>
        <n v="123" u="1"/>
        <n v="22" u="1"/>
        <n v="60" u="1"/>
        <n v="23" u="1"/>
        <n v="338" u="1"/>
        <n v="951" u="1"/>
        <n v="7532" u="1"/>
        <n v="25" u="1"/>
        <n v="299" u="1"/>
        <n v="399" u="1"/>
        <n v="357" u="1"/>
        <n v="45" u="1"/>
        <n v="444" u="1"/>
        <n v="789" u="1"/>
        <n v="2222" u="1"/>
        <n v="321" u="1"/>
        <n v="31" u="1"/>
        <n v="523" u="1"/>
      </sharedItems>
    </cacheField>
    <cacheField name="Service Type" numFmtId="0">
      <sharedItems containsSemiMixedTypes="0" containsString="0" containsNumber="1" containsInteger="1" minValue="0" maxValue="50" count="5">
        <n v="0"/>
        <n v="50" u="1"/>
        <n v="23" u="1"/>
        <n v="10" u="1"/>
        <n v="30" u="1"/>
      </sharedItems>
    </cacheField>
    <cacheField name="Service Date" numFmtId="0">
      <sharedItems containsDate="1" containsString="0" containsBlank="1" containsMixedTypes="1" minDate="1899-12-31T00:00:00" maxDate="2023-01-26T00:00:00" count="44">
        <d v="1899-12-30T00:00:00"/>
        <n v="0"/>
        <m u="1"/>
        <d v="2023-02-23T00:00:00" u="1"/>
        <d v="2023-02-16T00:00:00" u="1"/>
        <n v="44943" u="1"/>
        <d v="2023-01-30T00:00:00" u="1"/>
        <n v="44932" u="1"/>
        <d v="2023-01-23T00:00:00" u="1"/>
        <n v="44952" u="1"/>
        <n v="44972" u="1"/>
        <d v="2023-02-02T00:00:00" u="1"/>
        <n v="44941" u="1"/>
        <d v="2023-02-14T00:00:00" u="1"/>
        <n v="43692" u="1"/>
        <n v="44990" u="1"/>
        <d v="2023-03-12T00:00:00" u="1"/>
        <n v="44959" u="1"/>
        <n v="44928" u="1"/>
        <n v="44562" u="1"/>
        <n v="44957" u="1"/>
        <n v="44713" u="1"/>
        <n v="45017" u="1"/>
        <n v="44986" u="1"/>
        <d v="2023-01-12T00:00:00" u="1"/>
        <d v="2023-01-24T00:00:00" u="1"/>
        <d v="2023-05-06T00:00:00" u="1"/>
        <d v="2023-03-01T00:00:00" u="1"/>
        <d v="2023-03-20T00:00:00" u="1"/>
        <n v="44971" u="1"/>
        <n v="45082" u="1"/>
        <d v="2023-01-15T00:00:00" u="1"/>
        <d v="2023-03-06T00:00:00" u="1"/>
        <n v="44929" u="1"/>
        <d v="2023-03-25T00:00:00" u="1"/>
        <n v="44177" u="1"/>
        <n v="44958" u="1"/>
        <n v="44075" u="1"/>
        <n v="44927" u="1"/>
        <d v="2023-02-25T00:00:00" u="1"/>
        <n v="44916" u="1"/>
        <d v="2023-05-14T00:00:00" u="1"/>
        <n v="45047" u="1"/>
        <d v="2023-01-25T00:00:00" u="1"/>
      </sharedItems>
    </cacheField>
    <cacheField name="Service Units" numFmtId="0">
      <sharedItems containsSemiMixedTypes="0" containsString="0" containsNumber="1" containsInteger="1" minValue="0" maxValue="0" count="1">
        <n v="0"/>
      </sharedItems>
    </cacheField>
    <cacheField name="$ Claimed" numFmtId="0">
      <sharedItems containsSemiMixedTypes="0" containsString="0" containsNumber="1" containsInteger="1" minValue="0" maxValue="0" count="1">
        <n v="0"/>
      </sharedItems>
    </cacheField>
    <cacheField name="Reason for Correction" numFmtId="0">
      <sharedItems containsSemiMixedTypes="0" containsString="0" containsNumber="1" containsInteger="1" minValue="0" maxValue="555" count="3">
        <n v="0"/>
        <n v="555" u="1"/>
        <n v="4" u="1"/>
      </sharedItems>
    </cacheField>
    <cacheField name="Disallowed Requirement #" numFmtId="0">
      <sharedItems containsSemiMixedTypes="0" containsString="0" containsNumber="1" containsInteger="1" minValue="0" maxValue="0" count="1">
        <n v="0"/>
      </sharedItems>
    </cacheField>
    <cacheField name="Comments" numFmtId="0">
      <sharedItems containsSemiMixedTypes="0" containsString="0" containsNumber="1" containsInteger="1" minValue="0" maxValue="0" count="1">
        <n v="0"/>
      </sharedItems>
    </cacheField>
    <cacheField name="Medical Record #" numFmtId="0">
      <sharedItems containsSemiMixedTypes="0" containsString="0" containsNumber="1" containsInteger="1" minValue="0" maxValue="888888" count="14">
        <n v="0"/>
        <n v="25878" u="1"/>
        <n v="9999" u="1"/>
        <n v="65482" u="1"/>
        <n v="852156" u="1"/>
        <n v="98706" u="1"/>
        <n v="123654" u="1"/>
        <n v="12345" u="1"/>
        <n v="123" u="1"/>
        <n v="99999" u="1"/>
        <n v="877665" u="1"/>
        <n v="87654" u="1"/>
        <n v="598745" u="1"/>
        <n v="888888" u="1"/>
      </sharedItems>
    </cacheField>
    <cacheField name="Client #" numFmtId="0">
      <sharedItems containsSemiMixedTypes="0" containsString="0" containsNumber="1" containsInteger="1" minValue="0" maxValue="0" count="1">
        <n v="0"/>
      </sharedItems>
    </cacheField>
    <cacheField name="Disallowance" numFmtId="0">
      <sharedItems count="3">
        <s v="No"/>
        <s v="Yes"/>
        <e v="#NAME?" u="1"/>
      </sharedItems>
    </cacheField>
    <cacheField name="Correction" numFmtId="0">
      <sharedItems count="3">
        <s v="No"/>
        <s v="Yes"/>
        <e v="#NAME?" u="1"/>
      </sharedItems>
    </cacheField>
    <cacheField name="Include" numFmtId="0">
      <sharedItems count="4">
        <s v="No"/>
        <s v="Yes"/>
        <e v="#NAME?" u="1"/>
        <s v="#SPILL!"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1">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1"/>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2"/>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3"/>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4"/>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5"/>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6"/>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7"/>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8"/>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9"/>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0"/>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1"/>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2"/>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3"/>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4"/>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5"/>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6"/>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7"/>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8"/>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19"/>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0"/>
    <x v="0"/>
    <x v="0"/>
    <x v="0"/>
    <x v="0"/>
    <x v="0"/>
    <x v="0"/>
    <x v="0"/>
    <x v="0"/>
    <x v="0"/>
    <x v="0"/>
    <x v="0"/>
    <x v="0"/>
    <x v="0"/>
    <x v="0"/>
    <x v="0"/>
  </r>
  <r>
    <n v="21"/>
    <x v="0"/>
    <x v="0"/>
    <x v="0"/>
    <x v="0"/>
    <x v="1"/>
    <x v="0"/>
    <x v="0"/>
    <x v="0"/>
    <x v="0"/>
    <x v="0"/>
    <x v="0"/>
    <x v="0"/>
    <x v="1"/>
    <x v="1"/>
    <x v="1"/>
  </r>
  <r>
    <n v="21"/>
    <x v="0"/>
    <x v="0"/>
    <x v="0"/>
    <x v="0"/>
    <x v="1"/>
    <x v="0"/>
    <x v="0"/>
    <x v="0"/>
    <x v="0"/>
    <x v="0"/>
    <x v="0"/>
    <x v="0"/>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54EF514-67F8-43DB-B4D9-4E7EB1A8191D}" name="PivotTable3" cacheId="1" applyNumberFormats="0" applyBorderFormats="0" applyFontFormats="0" applyPatternFormats="0" applyAlignmentFormats="0" applyWidthHeightFormats="1" dataCaption="Values" updatedVersion="8" minRefreshableVersion="3" showDrill="0" showDataTips="0" itemPrintTitles="1" createdVersion="8" indent="0" compact="0" compactData="0" multipleFieldFilters="0">
  <location ref="A37:J39" firstHeaderRow="1" firstDataRow="1" firstDataCol="10" rowPageCount="2" colPageCount="1"/>
  <pivotFields count="16">
    <pivotField compact="0" outline="0" showAll="0" defaultSubtotal="0"/>
    <pivotField axis="axisRow" compact="0" outline="0" showAll="0" sortType="ascending" defaultSubtotal="0">
      <items count="1">
        <item x="0"/>
      </items>
    </pivotField>
    <pivotField axis="axisRow" compact="0" outline="0" showAll="0" defaultSubtotal="0">
      <items count="48">
        <item x="0"/>
        <item m="1" x="15"/>
        <item m="1" x="25"/>
        <item m="1" x="42"/>
        <item m="1" x="12"/>
        <item m="1" x="37"/>
        <item m="1" x="32"/>
        <item m="1" x="14"/>
        <item m="1" x="11"/>
        <item m="1" x="5"/>
        <item m="1" x="24"/>
        <item m="1" x="3"/>
        <item m="1" x="10"/>
        <item m="1" x="39"/>
        <item m="1" x="1"/>
        <item m="1" x="8"/>
        <item m="1" x="30"/>
        <item m="1" x="23"/>
        <item m="1" x="16"/>
        <item m="1" x="46"/>
        <item m="1" x="44"/>
        <item m="1" x="21"/>
        <item m="1" x="20"/>
        <item m="1" x="28"/>
        <item m="1" x="4"/>
        <item m="1" x="19"/>
        <item m="1" x="13"/>
        <item m="1" x="35"/>
        <item m="1" x="22"/>
        <item m="1" x="6"/>
        <item m="1" x="47"/>
        <item m="1" x="33"/>
        <item m="1" x="43"/>
        <item m="1" x="26"/>
        <item m="1" x="7"/>
        <item m="1" x="2"/>
        <item m="1" x="18"/>
        <item m="1" x="27"/>
        <item m="1" x="34"/>
        <item m="1" x="41"/>
        <item m="1" x="9"/>
        <item m="1" x="17"/>
        <item m="1" x="38"/>
        <item m="1" x="40"/>
        <item m="1" x="36"/>
        <item m="1" x="45"/>
        <item m="1" x="31"/>
        <item m="1" x="29"/>
      </items>
    </pivotField>
    <pivotField axis="axisRow" compact="0" outline="0" showAll="0" defaultSubtotal="0">
      <items count="39">
        <item x="0"/>
        <item m="1" x="35"/>
        <item m="1" x="24"/>
        <item m="1" x="32"/>
        <item m="1" x="23"/>
        <item m="1" x="17"/>
        <item m="1" x="10"/>
        <item m="1" x="29"/>
        <item m="1" x="30"/>
        <item m="1" x="15"/>
        <item m="1" x="3"/>
        <item m="1" x="5"/>
        <item m="1" x="33"/>
        <item m="1" x="1"/>
        <item m="1" x="18"/>
        <item m="1" x="19"/>
        <item m="1" x="22"/>
        <item m="1" x="16"/>
        <item m="1" x="28"/>
        <item m="1" x="14"/>
        <item m="1" x="11"/>
        <item m="1" x="8"/>
        <item m="1" x="37"/>
        <item m="1" x="21"/>
        <item m="1" x="34"/>
        <item m="1" x="13"/>
        <item m="1" x="31"/>
        <item m="1" x="26"/>
        <item m="1" x="2"/>
        <item m="1" x="25"/>
        <item m="1" x="36"/>
        <item m="1" x="9"/>
        <item m="1" x="6"/>
        <item m="1" x="12"/>
        <item m="1" x="38"/>
        <item m="1" x="20"/>
        <item m="1" x="27"/>
        <item m="1" x="7"/>
        <item m="1" x="4"/>
      </items>
    </pivotField>
    <pivotField axis="axisRow" compact="0" outline="0" showAll="0" defaultSubtotal="0">
      <items count="5">
        <item x="0"/>
        <item m="1" x="2"/>
        <item m="1" x="3"/>
        <item m="1" x="4"/>
        <item m="1" x="1"/>
      </items>
    </pivotField>
    <pivotField axis="axisRow" compact="0" numFmtId="14" outline="0" showAll="0" defaultSubtotal="0">
      <items count="44">
        <item x="1"/>
        <item m="1" x="38"/>
        <item m="1" x="19"/>
        <item m="1" x="21"/>
        <item m="1" x="30"/>
        <item m="1" x="37"/>
        <item m="1" x="14"/>
        <item m="1" x="35"/>
        <item m="1" x="36"/>
        <item m="1" x="23"/>
        <item m="1" x="22"/>
        <item m="1" x="42"/>
        <item m="1" x="40"/>
        <item m="1" x="33"/>
        <item m="1" x="29"/>
        <item m="1" x="10"/>
        <item m="1" x="5"/>
        <item m="1" x="15"/>
        <item m="1" x="9"/>
        <item m="1" x="12"/>
        <item m="1" x="17"/>
        <item m="1" x="20"/>
        <item m="1" x="18"/>
        <item m="1" x="7"/>
        <item m="1" x="11"/>
        <item m="1" x="31"/>
        <item m="1" x="27"/>
        <item m="1" x="4"/>
        <item m="1" x="25"/>
        <item m="1" x="34"/>
        <item m="1" x="39"/>
        <item m="1" x="6"/>
        <item x="0"/>
        <item m="1" x="2"/>
        <item m="1" x="32"/>
        <item m="1" x="13"/>
        <item m="1" x="3"/>
        <item m="1" x="24"/>
        <item m="1" x="8"/>
        <item m="1" x="43"/>
        <item m="1" x="16"/>
        <item m="1" x="28"/>
        <item m="1" x="41"/>
        <item m="1" x="26"/>
      </items>
    </pivotField>
    <pivotField name="Service Minutes" axis="axisRow" compact="0" outline="0" showAll="0" defaultSubtotal="0">
      <items count="1">
        <item x="0"/>
      </items>
    </pivotField>
    <pivotField axis="axisRow" compact="0" outline="0" showAll="0" defaultSubtotal="0">
      <items count="1">
        <item x="0"/>
      </items>
    </pivotField>
    <pivotField compact="0" outline="0" showAll="0" defaultSubtotal="0"/>
    <pivotField axis="axisRow" compact="0" outline="0" showAll="0" defaultSubtotal="0">
      <items count="1">
        <item x="0"/>
      </items>
    </pivotField>
    <pivotField axis="axisRow" compact="0" outline="0" showAll="0" defaultSubtotal="0">
      <items count="1">
        <item x="0"/>
      </items>
    </pivotField>
    <pivotField axis="axisRow" compact="0" outline="0" showAll="0" sortType="ascending" defaultSubtotal="0">
      <items count="14">
        <item x="0"/>
        <item m="1" x="8"/>
        <item m="1" x="2"/>
        <item m="1" x="7"/>
        <item m="1" x="1"/>
        <item m="1" x="3"/>
        <item m="1" x="11"/>
        <item m="1" x="5"/>
        <item m="1" x="9"/>
        <item m="1" x="6"/>
        <item m="1" x="12"/>
        <item m="1" x="4"/>
        <item m="1" x="10"/>
        <item m="1" x="13"/>
      </items>
      <extLst>
        <ext xmlns:x14="http://schemas.microsoft.com/office/spreadsheetml/2009/9/main" uri="{2946ED86-A175-432a-8AC1-64E0C546D7DE}">
          <x14:pivotField fillDownLabels="1"/>
        </ext>
      </extLst>
    </pivotField>
    <pivotField compact="0" outline="0" showAll="0" sortType="ascending" defaultSubtotal="0">
      <items count="1">
        <item x="0"/>
      </items>
    </pivotField>
    <pivotField axis="axisPage" compact="0" outline="0" showAll="0" defaultSubtotal="0">
      <items count="3">
        <item x="1"/>
        <item x="0"/>
        <item m="1" x="2"/>
      </items>
    </pivotField>
    <pivotField compact="0" outline="0" showAll="0" defaultSubtotal="0"/>
    <pivotField axis="axisPage" compact="0" outline="0" showAll="0" defaultSubtotal="0">
      <items count="4">
        <item x="0"/>
        <item x="1"/>
        <item m="1" x="2"/>
        <item m="1" x="3"/>
      </items>
    </pivotField>
  </pivotFields>
  <rowFields count="10">
    <field x="1"/>
    <field x="11"/>
    <field x="2"/>
    <field x="3"/>
    <field x="4"/>
    <field x="5"/>
    <field x="9"/>
    <field x="6"/>
    <field x="7"/>
    <field x="10"/>
  </rowFields>
  <rowItems count="2">
    <i>
      <x/>
      <x/>
      <x/>
      <x/>
      <x/>
      <x/>
      <x/>
      <x/>
      <x/>
      <x/>
    </i>
    <i t="grand">
      <x/>
    </i>
  </rowItems>
  <colItems count="1">
    <i/>
  </colItems>
  <pageFields count="2">
    <pageField fld="15" item="1" hier="-1"/>
    <pageField fld="13" item="0" hier="-1"/>
  </pageFields>
  <formats count="32">
    <format dxfId="486">
      <pivotArea field="12" type="button" dataOnly="0" labelOnly="1" outline="0"/>
    </format>
    <format dxfId="485">
      <pivotArea field="11" type="button" dataOnly="0" labelOnly="1" outline="0" axis="axisRow" fieldPosition="1"/>
    </format>
    <format dxfId="484">
      <pivotArea field="2" type="button" dataOnly="0" labelOnly="1" outline="0" axis="axisRow" fieldPosition="2"/>
    </format>
    <format dxfId="483">
      <pivotArea field="9" type="button" dataOnly="0" labelOnly="1" outline="0" axis="axisRow" fieldPosition="6"/>
    </format>
    <format dxfId="482">
      <pivotArea field="10" type="button" dataOnly="0" labelOnly="1" outline="0" axis="axisRow" fieldPosition="9"/>
    </format>
    <format dxfId="481">
      <pivotArea dataOnly="0" labelOnly="1" grandRow="1" outline="0" fieldPosition="0"/>
    </format>
    <format dxfId="480">
      <pivotArea dataOnly="0" labelOnly="1" outline="0" fieldPosition="0">
        <references count="1">
          <reference field="9" count="0"/>
        </references>
      </pivotArea>
    </format>
    <format dxfId="479">
      <pivotArea dataOnly="0" labelOnly="1" outline="0" fieldPosition="0">
        <references count="1">
          <reference field="10" count="0"/>
        </references>
      </pivotArea>
    </format>
    <format dxfId="478">
      <pivotArea type="all" dataOnly="0" outline="0" fieldPosition="0"/>
    </format>
    <format dxfId="477">
      <pivotArea outline="0" collapsedLevelsAreSubtotals="1" fieldPosition="0"/>
    </format>
    <format dxfId="476">
      <pivotArea field="11" type="button" dataOnly="0" labelOnly="1" outline="0" axis="axisRow" fieldPosition="1"/>
    </format>
    <format dxfId="475">
      <pivotArea field="2" type="button" dataOnly="0" labelOnly="1" outline="0" axis="axisRow" fieldPosition="2"/>
    </format>
    <format dxfId="474">
      <pivotArea field="3" type="button" dataOnly="0" labelOnly="1" outline="0" axis="axisRow" fieldPosition="3"/>
    </format>
    <format dxfId="473">
      <pivotArea field="4" type="button" dataOnly="0" labelOnly="1" outline="0" axis="axisRow" fieldPosition="4"/>
    </format>
    <format dxfId="472">
      <pivotArea field="5" type="button" dataOnly="0" labelOnly="1" outline="0" axis="axisRow" fieldPosition="5"/>
    </format>
    <format dxfId="471">
      <pivotArea field="9" type="button" dataOnly="0" labelOnly="1" outline="0" axis="axisRow" fieldPosition="6"/>
    </format>
    <format dxfId="470">
      <pivotArea field="10" type="button" dataOnly="0" labelOnly="1" outline="0" axis="axisRow" fieldPosition="9"/>
    </format>
    <format dxfId="469">
      <pivotArea dataOnly="0" labelOnly="1" outline="0" fieldPosition="0">
        <references count="1">
          <reference field="11" count="1">
            <x v="0"/>
          </reference>
        </references>
      </pivotArea>
    </format>
    <format dxfId="468">
      <pivotArea dataOnly="0" labelOnly="1" grandRow="1" outline="0" fieldPosition="0"/>
    </format>
    <format dxfId="467">
      <pivotArea type="all" dataOnly="0" outline="0" fieldPosition="0"/>
    </format>
    <format dxfId="466">
      <pivotArea outline="0" collapsedLevelsAreSubtotals="1" fieldPosition="0"/>
    </format>
    <format dxfId="465">
      <pivotArea field="11" type="button" dataOnly="0" labelOnly="1" outline="0" axis="axisRow" fieldPosition="1"/>
    </format>
    <format dxfId="464">
      <pivotArea field="2" type="button" dataOnly="0" labelOnly="1" outline="0" axis="axisRow" fieldPosition="2"/>
    </format>
    <format dxfId="463">
      <pivotArea field="3" type="button" dataOnly="0" labelOnly="1" outline="0" axis="axisRow" fieldPosition="3"/>
    </format>
    <format dxfId="462">
      <pivotArea field="4" type="button" dataOnly="0" labelOnly="1" outline="0" axis="axisRow" fieldPosition="4"/>
    </format>
    <format dxfId="461">
      <pivotArea field="5" type="button" dataOnly="0" labelOnly="1" outline="0" axis="axisRow" fieldPosition="5"/>
    </format>
    <format dxfId="460">
      <pivotArea field="9" type="button" dataOnly="0" labelOnly="1" outline="0" axis="axisRow" fieldPosition="6"/>
    </format>
    <format dxfId="459">
      <pivotArea field="10" type="button" dataOnly="0" labelOnly="1" outline="0" axis="axisRow" fieldPosition="9"/>
    </format>
    <format dxfId="458">
      <pivotArea dataOnly="0" labelOnly="1" outline="0" fieldPosition="0">
        <references count="1">
          <reference field="11" count="1">
            <x v="0"/>
          </reference>
        </references>
      </pivotArea>
    </format>
    <format dxfId="457">
      <pivotArea dataOnly="0" labelOnly="1" grandRow="1" outline="0" fieldPosition="0"/>
    </format>
    <format dxfId="456">
      <pivotArea field="6" type="button" dataOnly="0" labelOnly="1" outline="0" axis="axisRow" fieldPosition="7"/>
    </format>
    <format dxfId="455">
      <pivotArea field="3" type="button" dataOnly="0" labelOnly="1" outline="0" axis="axisRow" fieldPosition="3"/>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4881AC8-F1C9-4B08-AE01-F9D54AE28FAF}" name="PivotTable2" cacheId="1" applyNumberFormats="0" applyBorderFormats="0" applyFontFormats="0" applyPatternFormats="0" applyAlignmentFormats="0" applyWidthHeightFormats="1" dataCaption="Values" updatedVersion="8" minRefreshableVersion="3" showDrill="0" showDataTips="0" itemPrintTitles="1" createdVersion="8" indent="0" compact="0" compactData="0" multipleFieldFilters="0">
  <location ref="V14:AE16" firstHeaderRow="0" firstDataRow="1" firstDataCol="7" rowPageCount="2" colPageCount="1"/>
  <pivotFields count="16">
    <pivotField compact="0" outline="0" showAll="0"/>
    <pivotField dataField="1" compact="0" outline="0" showAll="0"/>
    <pivotField axis="axisRow" compact="0" outline="0" showAll="0" defaultSubtotal="0">
      <items count="48">
        <item x="0"/>
        <item m="1" x="15"/>
        <item m="1" x="25"/>
        <item m="1" x="42"/>
        <item m="1" x="12"/>
        <item m="1" x="37"/>
        <item m="1" x="32"/>
        <item m="1" x="14"/>
        <item m="1" x="11"/>
        <item m="1" x="5"/>
        <item m="1" x="24"/>
        <item m="1" x="3"/>
        <item m="1" x="10"/>
        <item m="1" x="39"/>
        <item m="1" x="1"/>
        <item m="1" x="8"/>
        <item m="1" x="30"/>
        <item m="1" x="23"/>
        <item m="1" x="16"/>
        <item m="1" x="46"/>
        <item m="1" x="44"/>
        <item m="1" x="21"/>
        <item m="1" x="20"/>
        <item m="1" x="28"/>
        <item m="1" x="4"/>
        <item m="1" x="19"/>
        <item m="1" x="13"/>
        <item m="1" x="35"/>
        <item m="1" x="22"/>
        <item m="1" x="6"/>
        <item m="1" x="47"/>
        <item m="1" x="33"/>
        <item m="1" x="43"/>
        <item m="1" x="26"/>
        <item m="1" x="7"/>
        <item m="1" x="2"/>
        <item m="1" x="18"/>
        <item m="1" x="27"/>
        <item m="1" x="34"/>
        <item m="1" x="41"/>
        <item m="1" x="9"/>
        <item m="1" x="17"/>
        <item m="1" x="38"/>
        <item m="1" x="40"/>
        <item m="1" x="36"/>
        <item m="1" x="45"/>
        <item m="1" x="31"/>
        <item m="1" x="29"/>
      </items>
    </pivotField>
    <pivotField axis="axisRow" compact="0" outline="0" showAll="0" defaultSubtotal="0">
      <items count="39">
        <item x="0"/>
        <item m="1" x="35"/>
        <item m="1" x="24"/>
        <item m="1" x="32"/>
        <item m="1" x="23"/>
        <item m="1" x="17"/>
        <item m="1" x="10"/>
        <item m="1" x="29"/>
        <item m="1" x="30"/>
        <item m="1" x="15"/>
        <item m="1" x="3"/>
        <item m="1" x="5"/>
        <item m="1" x="33"/>
        <item m="1" x="1"/>
        <item m="1" x="18"/>
        <item m="1" x="19"/>
        <item m="1" x="22"/>
        <item m="1" x="16"/>
        <item m="1" x="28"/>
        <item m="1" x="14"/>
        <item m="1" x="11"/>
        <item m="1" x="8"/>
        <item m="1" x="37"/>
        <item m="1" x="21"/>
        <item m="1" x="34"/>
        <item m="1" x="13"/>
        <item m="1" x="31"/>
        <item m="1" x="26"/>
        <item m="1" x="2"/>
        <item m="1" x="25"/>
        <item m="1" x="36"/>
        <item m="1" x="9"/>
        <item m="1" x="6"/>
        <item m="1" x="12"/>
        <item m="1" x="38"/>
        <item m="1" x="20"/>
        <item m="1" x="27"/>
        <item m="1" x="7"/>
        <item m="1" x="4"/>
      </items>
    </pivotField>
    <pivotField axis="axisRow" compact="0" outline="0" showAll="0" defaultSubtotal="0">
      <items count="5">
        <item x="0"/>
        <item m="1" x="2"/>
        <item m="1" x="3"/>
        <item m="1" x="4"/>
        <item m="1" x="1"/>
      </items>
    </pivotField>
    <pivotField axis="axisRow" compact="0" numFmtId="14" outline="0" showAll="0" defaultSubtotal="0">
      <items count="44">
        <item x="1"/>
        <item m="1" x="38"/>
        <item m="1" x="19"/>
        <item m="1" x="21"/>
        <item m="1" x="30"/>
        <item m="1" x="37"/>
        <item m="1" x="14"/>
        <item m="1" x="35"/>
        <item m="1" x="36"/>
        <item m="1" x="23"/>
        <item m="1" x="22"/>
        <item m="1" x="42"/>
        <item m="1" x="40"/>
        <item m="1" x="33"/>
        <item m="1" x="29"/>
        <item m="1" x="10"/>
        <item m="1" x="5"/>
        <item m="1" x="15"/>
        <item m="1" x="9"/>
        <item m="1" x="12"/>
        <item m="1" x="17"/>
        <item m="1" x="20"/>
        <item m="1" x="18"/>
        <item m="1" x="7"/>
        <item m="1" x="11"/>
        <item m="1" x="31"/>
        <item m="1" x="27"/>
        <item m="1" x="4"/>
        <item m="1" x="25"/>
        <item m="1" x="34"/>
        <item m="1" x="39"/>
        <item m="1" x="6"/>
        <item x="0"/>
        <item m="1" x="2"/>
        <item m="1" x="32"/>
        <item m="1" x="13"/>
        <item m="1" x="3"/>
        <item m="1" x="24"/>
        <item m="1" x="8"/>
        <item m="1" x="43"/>
        <item m="1" x="16"/>
        <item m="1" x="28"/>
        <item m="1" x="41"/>
        <item m="1" x="26"/>
      </items>
    </pivotField>
    <pivotField dataField="1" compact="0" outline="0" showAll="0"/>
    <pivotField dataField="1" compact="0" outline="0" showAll="0"/>
    <pivotField compact="0" outline="0" showAll="0"/>
    <pivotField axis="axisRow" compact="0" outline="0" showAll="0" defaultSubtotal="0">
      <items count="1">
        <item x="0"/>
      </items>
    </pivotField>
    <pivotField axis="axisRow" compact="0" outline="0" showAll="0">
      <items count="2">
        <item x="0"/>
        <item t="default"/>
      </items>
    </pivotField>
    <pivotField axis="axisRow" compact="0" outline="0" showAll="0" sortType="ascending" defaultSubtotal="0">
      <items count="14">
        <item x="0"/>
        <item m="1" x="8"/>
        <item m="1" x="2"/>
        <item m="1" x="7"/>
        <item m="1" x="1"/>
        <item m="1" x="3"/>
        <item m="1" x="11"/>
        <item m="1" x="5"/>
        <item m="1" x="9"/>
        <item m="1" x="6"/>
        <item m="1" x="12"/>
        <item m="1" x="4"/>
        <item m="1" x="10"/>
        <item m="1" x="13"/>
      </items>
      <extLst>
        <ext xmlns:x14="http://schemas.microsoft.com/office/spreadsheetml/2009/9/main" uri="{2946ED86-A175-432a-8AC1-64E0C546D7DE}">
          <x14:pivotField fillDownLabels="1"/>
        </ext>
      </extLst>
    </pivotField>
    <pivotField compact="0" outline="0" showAll="0" sortType="ascending" defaultSubtotal="0">
      <items count="1">
        <item x="0"/>
      </items>
    </pivotField>
    <pivotField axis="axisPage" compact="0" outline="0" showAll="0">
      <items count="4">
        <item x="1"/>
        <item x="0"/>
        <item m="1" x="2"/>
        <item t="default"/>
      </items>
    </pivotField>
    <pivotField compact="0" outline="0" showAll="0"/>
    <pivotField axis="axisPage" compact="0" outline="0" showAll="0">
      <items count="5">
        <item x="0"/>
        <item x="1"/>
        <item m="1" x="2"/>
        <item m="1" x="3"/>
        <item t="default"/>
      </items>
    </pivotField>
  </pivotFields>
  <rowFields count="7">
    <field x="11"/>
    <field x="2"/>
    <field x="3"/>
    <field x="4"/>
    <field x="5"/>
    <field x="9"/>
    <field x="10"/>
  </rowFields>
  <rowItems count="2">
    <i>
      <x/>
      <x/>
      <x/>
      <x/>
      <x/>
      <x/>
      <x/>
    </i>
    <i t="grand">
      <x/>
    </i>
  </rowItems>
  <colFields count="1">
    <field x="-2"/>
  </colFields>
  <colItems count="3">
    <i>
      <x/>
    </i>
    <i i="1">
      <x v="1"/>
    </i>
    <i i="2">
      <x v="2"/>
    </i>
  </colItems>
  <pageFields count="2">
    <pageField fld="15" item="1" hier="-1"/>
    <pageField fld="13" item="0" hier="-1"/>
  </pageFields>
  <dataFields count="3">
    <dataField name="Sum of  Client #" fld="1" baseField="0" baseItem="0"/>
    <dataField name="UOS" fld="6" baseField="12" baseItem="0" numFmtId="3"/>
    <dataField name="Amount" fld="7" baseField="12" baseItem="0" numFmtId="168"/>
  </dataFields>
  <formats count="34">
    <format dxfId="520">
      <pivotArea field="12" type="button" dataOnly="0" labelOnly="1" outline="0"/>
    </format>
    <format dxfId="519">
      <pivotArea field="11" type="button" dataOnly="0" labelOnly="1" outline="0" axis="axisRow" fieldPosition="0"/>
    </format>
    <format dxfId="518">
      <pivotArea field="2" type="button" dataOnly="0" labelOnly="1" outline="0" axis="axisRow" fieldPosition="1"/>
    </format>
    <format dxfId="517">
      <pivotArea field="9" type="button" dataOnly="0" labelOnly="1" outline="0" axis="axisRow" fieldPosition="5"/>
    </format>
    <format dxfId="516">
      <pivotArea field="10" type="button" dataOnly="0" labelOnly="1" outline="0" axis="axisRow" fieldPosition="6"/>
    </format>
    <format dxfId="515">
      <pivotArea dataOnly="0" labelOnly="1" grandRow="1" outline="0" fieldPosition="0"/>
    </format>
    <format dxfId="514">
      <pivotArea dataOnly="0" labelOnly="1" outline="0" fieldPosition="0">
        <references count="1">
          <reference field="9" count="0"/>
        </references>
      </pivotArea>
    </format>
    <format dxfId="513">
      <pivotArea dataOnly="0" labelOnly="1" outline="0" fieldPosition="0">
        <references count="1">
          <reference field="10" count="0"/>
        </references>
      </pivotArea>
    </format>
    <format dxfId="512">
      <pivotArea outline="0" fieldPosition="0">
        <references count="1">
          <reference field="4294967294" count="1">
            <x v="2"/>
          </reference>
        </references>
      </pivotArea>
    </format>
    <format dxfId="511">
      <pivotArea outline="0" fieldPosition="0">
        <references count="1">
          <reference field="4294967294" count="1">
            <x v="1"/>
          </reference>
        </references>
      </pivotArea>
    </format>
    <format dxfId="510">
      <pivotArea type="all" dataOnly="0" outline="0" fieldPosition="0"/>
    </format>
    <format dxfId="509">
      <pivotArea outline="0" collapsedLevelsAreSubtotals="1" fieldPosition="0"/>
    </format>
    <format dxfId="508">
      <pivotArea field="11" type="button" dataOnly="0" labelOnly="1" outline="0" axis="axisRow" fieldPosition="0"/>
    </format>
    <format dxfId="507">
      <pivotArea field="2" type="button" dataOnly="0" labelOnly="1" outline="0" axis="axisRow" fieldPosition="1"/>
    </format>
    <format dxfId="506">
      <pivotArea field="3" type="button" dataOnly="0" labelOnly="1" outline="0" axis="axisRow" fieldPosition="2"/>
    </format>
    <format dxfId="505">
      <pivotArea field="4" type="button" dataOnly="0" labelOnly="1" outline="0" axis="axisRow" fieldPosition="3"/>
    </format>
    <format dxfId="504">
      <pivotArea field="5" type="button" dataOnly="0" labelOnly="1" outline="0" axis="axisRow" fieldPosition="4"/>
    </format>
    <format dxfId="503">
      <pivotArea field="9" type="button" dataOnly="0" labelOnly="1" outline="0" axis="axisRow" fieldPosition="5"/>
    </format>
    <format dxfId="502">
      <pivotArea field="10" type="button" dataOnly="0" labelOnly="1" outline="0" axis="axisRow" fieldPosition="6"/>
    </format>
    <format dxfId="501">
      <pivotArea dataOnly="0" labelOnly="1" outline="0" fieldPosition="0">
        <references count="1">
          <reference field="11" count="1">
            <x v="0"/>
          </reference>
        </references>
      </pivotArea>
    </format>
    <format dxfId="500">
      <pivotArea dataOnly="0" labelOnly="1" grandRow="1" outline="0" fieldPosition="0"/>
    </format>
    <format dxfId="499">
      <pivotArea dataOnly="0" labelOnly="1" outline="0" fieldPosition="0">
        <references count="1">
          <reference field="4294967294" count="2">
            <x v="1"/>
            <x v="2"/>
          </reference>
        </references>
      </pivotArea>
    </format>
    <format dxfId="498">
      <pivotArea type="all" dataOnly="0" outline="0" fieldPosition="0"/>
    </format>
    <format dxfId="497">
      <pivotArea outline="0" collapsedLevelsAreSubtotals="1" fieldPosition="0"/>
    </format>
    <format dxfId="496">
      <pivotArea field="11" type="button" dataOnly="0" labelOnly="1" outline="0" axis="axisRow" fieldPosition="0"/>
    </format>
    <format dxfId="495">
      <pivotArea field="2" type="button" dataOnly="0" labelOnly="1" outline="0" axis="axisRow" fieldPosition="1"/>
    </format>
    <format dxfId="494">
      <pivotArea field="3" type="button" dataOnly="0" labelOnly="1" outline="0" axis="axisRow" fieldPosition="2"/>
    </format>
    <format dxfId="493">
      <pivotArea field="4" type="button" dataOnly="0" labelOnly="1" outline="0" axis="axisRow" fieldPosition="3"/>
    </format>
    <format dxfId="492">
      <pivotArea field="5" type="button" dataOnly="0" labelOnly="1" outline="0" axis="axisRow" fieldPosition="4"/>
    </format>
    <format dxfId="491">
      <pivotArea field="9" type="button" dataOnly="0" labelOnly="1" outline="0" axis="axisRow" fieldPosition="5"/>
    </format>
    <format dxfId="490">
      <pivotArea field="10" type="button" dataOnly="0" labelOnly="1" outline="0" axis="axisRow" fieldPosition="6"/>
    </format>
    <format dxfId="489">
      <pivotArea dataOnly="0" labelOnly="1" outline="0" fieldPosition="0">
        <references count="1">
          <reference field="11" count="1">
            <x v="0"/>
          </reference>
        </references>
      </pivotArea>
    </format>
    <format dxfId="488">
      <pivotArea dataOnly="0" labelOnly="1" grandRow="1" outline="0" fieldPosition="0"/>
    </format>
    <format dxfId="487">
      <pivotArea dataOnly="0" labelOnly="1" outline="0" fieldPosition="0">
        <references count="1">
          <reference field="4294967294" count="2">
            <x v="1"/>
            <x v="2"/>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A477F9B-A153-439D-950B-ACAEC7972A3D}" name="PivotTable1" cacheId="1" applyNumberFormats="0" applyBorderFormats="0" applyFontFormats="0" applyPatternFormats="0" applyAlignmentFormats="0" applyWidthHeightFormats="1" dataCaption="Values" updatedVersion="8" minRefreshableVersion="3" showDrill="0" showDataTips="0" itemPrintTitles="1" createdVersion="8" indent="0" compact="0" compactData="0" multipleFieldFilters="0">
  <location ref="A13:J15" firstHeaderRow="1" firstDataRow="1" firstDataCol="10" rowPageCount="2" colPageCount="1"/>
  <pivotFields count="16">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48">
        <item x="0"/>
        <item m="1" x="15"/>
        <item m="1" x="25"/>
        <item m="1" x="42"/>
        <item m="1" x="12"/>
        <item m="1" x="37"/>
        <item m="1" x="32"/>
        <item m="1" x="14"/>
        <item m="1" x="11"/>
        <item m="1" x="5"/>
        <item m="1" x="24"/>
        <item m="1" x="3"/>
        <item m="1" x="10"/>
        <item m="1" x="39"/>
        <item m="1" x="1"/>
        <item m="1" x="8"/>
        <item m="1" x="30"/>
        <item m="1" x="23"/>
        <item m="1" x="16"/>
        <item m="1" x="46"/>
        <item m="1" x="44"/>
        <item m="1" x="21"/>
        <item m="1" x="20"/>
        <item m="1" x="28"/>
        <item m="1" x="4"/>
        <item m="1" x="19"/>
        <item m="1" x="13"/>
        <item m="1" x="35"/>
        <item m="1" x="22"/>
        <item m="1" x="6"/>
        <item m="1" x="47"/>
        <item m="1" x="33"/>
        <item m="1" x="43"/>
        <item m="1" x="26"/>
        <item m="1" x="7"/>
        <item m="1" x="2"/>
        <item m="1" x="18"/>
        <item m="1" x="27"/>
        <item m="1" x="34"/>
        <item m="1" x="41"/>
        <item m="1" x="9"/>
        <item m="1" x="17"/>
        <item m="1" x="38"/>
        <item m="1" x="40"/>
        <item m="1" x="36"/>
        <item m="1" x="45"/>
        <item m="1" x="31"/>
        <item m="1" x="29"/>
      </items>
      <extLst>
        <ext xmlns:x14="http://schemas.microsoft.com/office/spreadsheetml/2009/9/main" uri="{2946ED86-A175-432a-8AC1-64E0C546D7DE}">
          <x14:pivotField fillDownLabels="1"/>
        </ext>
      </extLst>
    </pivotField>
    <pivotField axis="axisRow" compact="0" outline="0" showAll="0" defaultSubtotal="0">
      <items count="39">
        <item x="0"/>
        <item m="1" x="35"/>
        <item m="1" x="24"/>
        <item m="1" x="32"/>
        <item m="1" x="23"/>
        <item m="1" x="17"/>
        <item m="1" x="10"/>
        <item m="1" x="29"/>
        <item m="1" x="30"/>
        <item m="1" x="15"/>
        <item m="1" x="3"/>
        <item m="1" x="5"/>
        <item m="1" x="33"/>
        <item m="1" x="1"/>
        <item m="1" x="18"/>
        <item m="1" x="19"/>
        <item m="1" x="22"/>
        <item m="1" x="16"/>
        <item m="1" x="28"/>
        <item m="1" x="14"/>
        <item m="1" x="11"/>
        <item m="1" x="8"/>
        <item m="1" x="37"/>
        <item m="1" x="21"/>
        <item m="1" x="34"/>
        <item m="1" x="13"/>
        <item m="1" x="31"/>
        <item m="1" x="26"/>
        <item m="1" x="2"/>
        <item m="1" x="25"/>
        <item m="1" x="36"/>
        <item m="1" x="9"/>
        <item m="1" x="6"/>
        <item m="1" x="12"/>
        <item m="1" x="38"/>
        <item m="1" x="20"/>
        <item m="1" x="27"/>
        <item m="1" x="7"/>
        <item m="1" x="4"/>
      </items>
      <extLst>
        <ext xmlns:x14="http://schemas.microsoft.com/office/spreadsheetml/2009/9/main" uri="{2946ED86-A175-432a-8AC1-64E0C546D7DE}">
          <x14:pivotField fillDownLabels="1"/>
        </ext>
      </extLst>
    </pivotField>
    <pivotField axis="axisRow" compact="0" outline="0" showAll="0" defaultSubtotal="0">
      <items count="5">
        <item x="0"/>
        <item m="1" x="2"/>
        <item m="1" x="3"/>
        <item m="1" x="4"/>
        <item m="1" x="1"/>
      </items>
      <extLst>
        <ext xmlns:x14="http://schemas.microsoft.com/office/spreadsheetml/2009/9/main" uri="{2946ED86-A175-432a-8AC1-64E0C546D7DE}">
          <x14:pivotField fillDownLabels="1"/>
        </ext>
      </extLst>
    </pivotField>
    <pivotField axis="axisRow" compact="0" numFmtId="14" outline="0" showAll="0" defaultSubtotal="0">
      <items count="44">
        <item x="1"/>
        <item m="1" x="38"/>
        <item m="1" x="19"/>
        <item m="1" x="21"/>
        <item m="1" x="30"/>
        <item m="1" x="37"/>
        <item m="1" x="14"/>
        <item m="1" x="35"/>
        <item m="1" x="36"/>
        <item m="1" x="23"/>
        <item m="1" x="22"/>
        <item m="1" x="42"/>
        <item m="1" x="40"/>
        <item m="1" x="33"/>
        <item m="1" x="29"/>
        <item m="1" x="10"/>
        <item m="1" x="5"/>
        <item m="1" x="15"/>
        <item m="1" x="9"/>
        <item m="1" x="12"/>
        <item m="1" x="17"/>
        <item m="1" x="20"/>
        <item m="1" x="18"/>
        <item m="1" x="7"/>
        <item m="1" x="11"/>
        <item m="1" x="31"/>
        <item m="1" x="27"/>
        <item m="1" x="4"/>
        <item m="1" x="25"/>
        <item m="1" x="34"/>
        <item m="1" x="39"/>
        <item m="1" x="6"/>
        <item x="0"/>
        <item m="1" x="2"/>
        <item m="1" x="32"/>
        <item m="1" x="13"/>
        <item m="1" x="3"/>
        <item m="1" x="24"/>
        <item m="1" x="8"/>
        <item m="1" x="43"/>
        <item m="1" x="16"/>
        <item m="1" x="28"/>
        <item m="1" x="41"/>
        <item m="1" x="26"/>
      </items>
      <extLst>
        <ext xmlns:x14="http://schemas.microsoft.com/office/spreadsheetml/2009/9/main" uri="{2946ED86-A175-432a-8AC1-64E0C546D7DE}">
          <x14:pivotField fillDownLabels="1"/>
        </ext>
      </extLst>
    </pivotField>
    <pivotField name="Service Minutes"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3">
        <item x="0"/>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sortType="ascending" defaultSubtotal="0">
      <items count="14">
        <item x="0"/>
        <item m="1" x="8"/>
        <item m="1" x="2"/>
        <item m="1" x="7"/>
        <item m="1" x="1"/>
        <item m="1" x="3"/>
        <item m="1" x="11"/>
        <item m="1" x="5"/>
        <item m="1" x="9"/>
        <item m="1" x="6"/>
        <item m="1" x="12"/>
        <item m="1" x="4"/>
        <item m="1" x="10"/>
        <item m="1" x="13"/>
      </items>
      <extLst>
        <ext xmlns:x14="http://schemas.microsoft.com/office/spreadsheetml/2009/9/main" uri="{2946ED86-A175-432a-8AC1-64E0C546D7DE}">
          <x14:pivotField fillDownLabels="1"/>
        </ext>
      </extLst>
    </pivotField>
    <pivotField compact="0" outline="0" showAll="0" sortType="ascending"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3">
        <item x="0"/>
        <item x="1"/>
        <item m="1" x="2"/>
      </items>
      <extLst>
        <ext xmlns:x14="http://schemas.microsoft.com/office/spreadsheetml/2009/9/main" uri="{2946ED86-A175-432a-8AC1-64E0C546D7DE}">
          <x14:pivotField fillDownLabels="1"/>
        </ext>
      </extLst>
    </pivotField>
    <pivotField axis="axisPage" compact="0" outline="0" showAll="0" defaultSubtotal="0">
      <items count="4">
        <item x="0"/>
        <item x="1"/>
        <item m="1" x="2"/>
        <item m="1" x="3"/>
      </items>
      <extLst>
        <ext xmlns:x14="http://schemas.microsoft.com/office/spreadsheetml/2009/9/main" uri="{2946ED86-A175-432a-8AC1-64E0C546D7DE}">
          <x14:pivotField fillDownLabels="1"/>
        </ext>
      </extLst>
    </pivotField>
  </pivotFields>
  <rowFields count="10">
    <field x="1"/>
    <field x="11"/>
    <field x="2"/>
    <field x="3"/>
    <field x="4"/>
    <field x="5"/>
    <field x="8"/>
    <field x="6"/>
    <field x="7"/>
    <field x="10"/>
  </rowFields>
  <rowItems count="2">
    <i>
      <x/>
      <x/>
      <x/>
      <x/>
      <x/>
      <x/>
      <x/>
      <x/>
      <x/>
      <x/>
    </i>
    <i t="grand">
      <x/>
    </i>
  </rowItems>
  <colItems count="1">
    <i/>
  </colItems>
  <pageFields count="2">
    <pageField fld="15" item="1" hier="-1"/>
    <pageField fld="14" item="1" hier="-1"/>
  </pageFields>
  <formats count="36">
    <format dxfId="556">
      <pivotArea field="12" type="button" dataOnly="0" labelOnly="1" outline="0"/>
    </format>
    <format dxfId="555">
      <pivotArea field="11" type="button" dataOnly="0" labelOnly="1" outline="0" axis="axisRow" fieldPosition="1"/>
    </format>
    <format dxfId="554">
      <pivotArea field="2" type="button" dataOnly="0" labelOnly="1" outline="0" axis="axisRow" fieldPosition="2"/>
    </format>
    <format dxfId="553">
      <pivotArea field="3" type="button" dataOnly="0" labelOnly="1" outline="0" axis="axisRow" fieldPosition="3"/>
    </format>
    <format dxfId="552">
      <pivotArea field="5" type="button" dataOnly="0" labelOnly="1" outline="0" axis="axisRow" fieldPosition="5"/>
    </format>
    <format dxfId="551">
      <pivotArea field="10" type="button" dataOnly="0" labelOnly="1" outline="0" axis="axisRow" fieldPosition="9"/>
    </format>
    <format dxfId="550">
      <pivotArea field="4" type="button" dataOnly="0" labelOnly="1" outline="0" axis="axisRow" fieldPosition="4"/>
    </format>
    <format dxfId="549">
      <pivotArea field="5" type="button" dataOnly="0" labelOnly="1" outline="0" axis="axisRow" fieldPosition="5"/>
    </format>
    <format dxfId="548">
      <pivotArea dataOnly="0" labelOnly="1" outline="0" fieldPosition="0">
        <references count="1">
          <reference field="10" count="0"/>
        </references>
      </pivotArea>
    </format>
    <format dxfId="547">
      <pivotArea type="all" dataOnly="0" outline="0" fieldPosition="0"/>
    </format>
    <format dxfId="546">
      <pivotArea outline="0" collapsedLevelsAreSubtotals="1" fieldPosition="0"/>
    </format>
    <format dxfId="545">
      <pivotArea dataOnly="0" labelOnly="1" outline="0" fieldPosition="0">
        <references count="1">
          <reference field="11" count="1">
            <x v="0"/>
          </reference>
        </references>
      </pivotArea>
    </format>
    <format dxfId="544">
      <pivotArea dataOnly="0" labelOnly="1" grandRow="1" outline="0" fieldPosition="0"/>
    </format>
    <format dxfId="543">
      <pivotArea type="all" dataOnly="0" outline="0" fieldPosition="0"/>
    </format>
    <format dxfId="542">
      <pivotArea outline="0" collapsedLevelsAreSubtotals="1" fieldPosition="0"/>
    </format>
    <format dxfId="541">
      <pivotArea dataOnly="0" labelOnly="1" outline="0" fieldPosition="0">
        <references count="1">
          <reference field="11" count="1">
            <x v="0"/>
          </reference>
        </references>
      </pivotArea>
    </format>
    <format dxfId="540">
      <pivotArea dataOnly="0" labelOnly="1" grandRow="1" outline="0" fieldPosition="0"/>
    </format>
    <format dxfId="539">
      <pivotArea field="6" type="button" dataOnly="0" labelOnly="1" outline="0" axis="axisRow" fieldPosition="7"/>
    </format>
    <format dxfId="538">
      <pivotArea field="2" type="button" dataOnly="0" labelOnly="1" outline="0" axis="axisRow" fieldPosition="2"/>
    </format>
    <format dxfId="537">
      <pivotArea field="3" type="button" dataOnly="0" labelOnly="1" outline="0" axis="axisRow" fieldPosition="3"/>
    </format>
    <format dxfId="536">
      <pivotArea field="4" type="button" dataOnly="0" labelOnly="1" outline="0" axis="axisRow" fieldPosition="4"/>
    </format>
    <format dxfId="535">
      <pivotArea field="5" type="button" dataOnly="0" labelOnly="1" outline="0" axis="axisRow" fieldPosition="5"/>
    </format>
    <format dxfId="534">
      <pivotArea field="8" type="button" dataOnly="0" labelOnly="1" outline="0" axis="axisRow" fieldPosition="6"/>
    </format>
    <format dxfId="533">
      <pivotArea field="6" type="button" dataOnly="0" labelOnly="1" outline="0" axis="axisRow" fieldPosition="7"/>
    </format>
    <format dxfId="532">
      <pivotArea field="7" type="button" dataOnly="0" labelOnly="1" outline="0" axis="axisRow" fieldPosition="8"/>
    </format>
    <format dxfId="531">
      <pivotArea field="10" type="button" dataOnly="0" labelOnly="1" outline="0" axis="axisRow" fieldPosition="9"/>
    </format>
    <format dxfId="530">
      <pivotArea field="2" type="button" dataOnly="0" labelOnly="1" outline="0" axis="axisRow" fieldPosition="2"/>
    </format>
    <format dxfId="529">
      <pivotArea field="3" type="button" dataOnly="0" labelOnly="1" outline="0" axis="axisRow" fieldPosition="3"/>
    </format>
    <format dxfId="528">
      <pivotArea field="4" type="button" dataOnly="0" labelOnly="1" outline="0" axis="axisRow" fieldPosition="4"/>
    </format>
    <format dxfId="527">
      <pivotArea field="5" type="button" dataOnly="0" labelOnly="1" outline="0" axis="axisRow" fieldPosition="5"/>
    </format>
    <format dxfId="526">
      <pivotArea field="8" type="button" dataOnly="0" labelOnly="1" outline="0" axis="axisRow" fieldPosition="6"/>
    </format>
    <format dxfId="525">
      <pivotArea field="6" type="button" dataOnly="0" labelOnly="1" outline="0" axis="axisRow" fieldPosition="7"/>
    </format>
    <format dxfId="524">
      <pivotArea field="7" type="button" dataOnly="0" labelOnly="1" outline="0" axis="axisRow" fieldPosition="8"/>
    </format>
    <format dxfId="523">
      <pivotArea field="10" type="button" dataOnly="0" labelOnly="1" outline="0" axis="axisRow" fieldPosition="9"/>
    </format>
    <format dxfId="522">
      <pivotArea field="1" type="button" dataOnly="0" labelOnly="1" outline="0" axis="axisRow" fieldPosition="0"/>
    </format>
    <format dxfId="521">
      <pivotArea field="11" type="button" dataOnly="0" labelOnly="1" outline="0" axis="axisRow" fieldPosition="1"/>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88712C7-E813-4B0B-A669-06CD89294572}" name="RECORDS" displayName="RECORDS" ref="B13:G33" totalsRowShown="0" headerRowDxfId="567" dataDxfId="565" headerRowBorderDxfId="566" tableBorderDxfId="564" totalsRowBorderDxfId="563">
  <autoFilter ref="B13:G33" xr:uid="{C88712C7-E813-4B0B-A669-06CD89294572}">
    <filterColumn colId="0" hiddenButton="1"/>
    <filterColumn colId="1" hiddenButton="1"/>
    <filterColumn colId="2" hiddenButton="1"/>
    <filterColumn colId="3" hiddenButton="1"/>
    <filterColumn colId="4" hiddenButton="1"/>
    <filterColumn colId="5" hiddenButton="1"/>
  </autoFilter>
  <tableColumns count="6">
    <tableColumn id="7" xr3:uid="{931D046D-BDC8-4613-A134-542FDD6D5415}" name="Tab" dataDxfId="562"/>
    <tableColumn id="1" xr3:uid="{94D10909-679A-4630-BDCA-88A5A7D927EF}" name="Med Rec # " dataDxfId="561"/>
    <tableColumn id="9" xr3:uid="{D0D522C4-CA61-4B4B-9AB4-46A95E676F3B}" name="Client" dataDxfId="560"/>
    <tableColumn id="2" xr3:uid="{C91FDEE4-7854-4A24-B753-FAC145E5D2BC}" name="# Svcs" dataDxfId="559"/>
    <tableColumn id="11" xr3:uid="{8FEA4DAA-25ED-48A6-A710-F6DF04BE77BC}" name="Reviewer" dataDxfId="558"/>
    <tableColumn id="5" xr3:uid="{57C43C47-6A25-4310-92C9-D82F48CC38B9}" name="Insurance" dataDxfId="557"/>
  </tableColumns>
  <tableStyleInfo name="TableStyleMedium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F2441B3-613D-47B4-830D-AF14CBEFDD9C}" name="Client_2310" displayName="Client_2310" ref="S8:AB34" totalsRowShown="0" headerRowDxfId="293" dataDxfId="292" tableBorderDxfId="291">
  <tableColumns count="10">
    <tableColumn id="6" xr3:uid="{53763759-A693-40A1-83CD-E3DDBC3F7F89}" name=" Chart #" dataDxfId="290"/>
    <tableColumn id="1" xr3:uid="{CFB2AE14-E7C7-4286-B61B-9562DD99E07D}" name="Provider ID" dataDxfId="289"/>
    <tableColumn id="2" xr3:uid="{B965A130-34AD-487D-B0DD-3448BB882E03}" name="Service Code" dataDxfId="288"/>
    <tableColumn id="3" xr3:uid="{3A87AE6A-F587-4187-B814-29E98893595C}" name="Service Type" dataDxfId="287"/>
    <tableColumn id="4" xr3:uid="{1C8D2125-A644-42AF-8B74-2BE23DE3CA7B}" name="Service Date" dataDxfId="286"/>
    <tableColumn id="5" xr3:uid="{4876323B-5740-43B6-A31F-3089E5C0FD10}" name="Service Minutes" dataDxfId="285"/>
    <tableColumn id="7" xr3:uid="{6CD9AEB1-19B5-44F4-9E07-89BED9B12BA2}" name="$ Claimed" dataDxfId="284"/>
    <tableColumn id="9" xr3:uid="{A6066D67-1757-4953-823B-BDDBADACEEAD}" name="Reason for Correction" dataDxfId="283" dataCellStyle="Normal 2"/>
    <tableColumn id="12" xr3:uid="{4D158715-E6C6-4963-9E76-D89E255CA85D}" name="Disallowed Requirement #" dataDxfId="282"/>
    <tableColumn id="11" xr3:uid="{1D5EF929-0BA4-4893-A5A6-1F82E14411C5}" name="Comments" dataDxfId="281"/>
  </tableColumns>
  <tableStyleInfo name="TableStyleMedium1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2A2DA99-8B24-47D7-BB19-853DFD4DF745}" name="Client_2311" displayName="Client_2311" ref="S8:AB34" totalsRowShown="0" headerRowDxfId="280" dataDxfId="279" tableBorderDxfId="278">
  <tableColumns count="10">
    <tableColumn id="6" xr3:uid="{C3085C07-427B-4799-A963-FD3D6F97831A}" name=" Chart #" dataDxfId="277"/>
    <tableColumn id="1" xr3:uid="{33003521-083F-4FFD-AAD3-FE1975409B12}" name="Provider ID" dataDxfId="276"/>
    <tableColumn id="2" xr3:uid="{C0FC61F8-3881-485A-9EC9-604322A64832}" name="Service Code" dataDxfId="275"/>
    <tableColumn id="3" xr3:uid="{27F9BC09-5430-4999-9822-C1264FC97D94}" name="Service Type" dataDxfId="274"/>
    <tableColumn id="4" xr3:uid="{CFC38E62-A862-4D19-BA6B-A00FCF62320A}" name="Service Date" dataDxfId="273"/>
    <tableColumn id="5" xr3:uid="{E35017A5-637A-4230-8B64-3CC07CE0331B}" name="Service Minutes" dataDxfId="272"/>
    <tableColumn id="7" xr3:uid="{3D7BF4DE-9C3A-43C8-BBB7-95DC423ED9CF}" name="$ Claimed" dataDxfId="271"/>
    <tableColumn id="9" xr3:uid="{081BE5BF-84A5-4DA8-B56F-46B8D91A7601}" name="Reason for Correction" dataDxfId="270" dataCellStyle="Normal 2"/>
    <tableColumn id="12" xr3:uid="{8720C456-5926-4005-8919-7479CE69CA5C}" name="Disallowed Requirement #" dataDxfId="269"/>
    <tableColumn id="11" xr3:uid="{A78A7185-444B-4F1C-8339-AF02099F702D}" name="Comments" dataDxfId="268"/>
  </tableColumns>
  <tableStyleInfo name="TableStyleMedium1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AA4BB70-4F10-4356-AACD-2EA976304AD6}" name="Client_2312" displayName="Client_2312" ref="S8:AB34" totalsRowShown="0" headerRowDxfId="267" dataDxfId="266" tableBorderDxfId="265">
  <tableColumns count="10">
    <tableColumn id="6" xr3:uid="{63CC6BE1-68F8-4A49-BB5B-D1010D67C141}" name=" Chart #" dataDxfId="264"/>
    <tableColumn id="1" xr3:uid="{CCCDB6B7-50CD-4C35-83D3-B375F1F31F2E}" name="Provider ID" dataDxfId="263"/>
    <tableColumn id="2" xr3:uid="{F72DB875-BD6A-43D8-913C-C742BDAF7268}" name="Service Code" dataDxfId="262"/>
    <tableColumn id="3" xr3:uid="{4369B2B5-7ABA-4048-8874-1AD151F9EF76}" name="Service Type" dataDxfId="261"/>
    <tableColumn id="4" xr3:uid="{E0AA4654-0D7C-4D32-A841-4BFA4EEF0DCE}" name="Service Date" dataDxfId="260"/>
    <tableColumn id="5" xr3:uid="{AD6C941A-17E2-4619-8D93-B6A67EC0C769}" name="Service Minutes" dataDxfId="259"/>
    <tableColumn id="7" xr3:uid="{C86713E7-8E92-4571-BFE3-0271E3EDE73D}" name="$ Claimed" dataDxfId="258"/>
    <tableColumn id="9" xr3:uid="{A7AB9888-7254-4C1A-BF5C-DA187C637468}" name="Reason for Correction" dataDxfId="257" dataCellStyle="Normal 2"/>
    <tableColumn id="12" xr3:uid="{28C262F1-8F91-4673-B9AE-E3F5B7A90118}" name="Disallowed Requirement #" dataDxfId="256"/>
    <tableColumn id="11" xr3:uid="{A07BEDBF-838B-417F-8004-D20C1E6283D1}" name="Comments" dataDxfId="255"/>
  </tableColumns>
  <tableStyleInfo name="TableStyleMedium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D3C7696-EAA0-4146-93A6-A3F928C8A54C}" name="Client_2313" displayName="Client_2313" ref="S8:AB34" totalsRowShown="0" headerRowDxfId="254" dataDxfId="253" tableBorderDxfId="252">
  <tableColumns count="10">
    <tableColumn id="6" xr3:uid="{F8044386-273C-4C14-8C78-ABDE4A661512}" name=" Chart #" dataDxfId="251"/>
    <tableColumn id="1" xr3:uid="{B34C63D4-6FE2-426A-A605-F498605A1D52}" name="Provider ID" dataDxfId="250"/>
    <tableColumn id="2" xr3:uid="{229BF9E0-431C-42A9-A491-FE36B68E3412}" name="Service Code" dataDxfId="249"/>
    <tableColumn id="3" xr3:uid="{6427BD9A-A71C-4268-8398-173786771D47}" name="Service Type" dataDxfId="248"/>
    <tableColumn id="4" xr3:uid="{4FF623F2-96DF-4A65-83BB-301A46DB5A84}" name="Service Date" dataDxfId="247"/>
    <tableColumn id="5" xr3:uid="{7A7E4CA5-2F95-4A08-AFFE-8C0BECE12FB8}" name="Service Minutes" dataDxfId="246"/>
    <tableColumn id="7" xr3:uid="{84EFB970-A7E9-4C0A-AC34-ACF64EAAB677}" name="$ Claimed" dataDxfId="245"/>
    <tableColumn id="9" xr3:uid="{1E991E76-3563-42F1-BB3D-77824B43AB6E}" name="Reason for Correction" dataDxfId="244" dataCellStyle="Normal 2"/>
    <tableColumn id="12" xr3:uid="{E9DBD3B9-1E6D-48F8-AFEF-71EC84E5666A}" name="Disallowed Requirement #" dataDxfId="243"/>
    <tableColumn id="11" xr3:uid="{8FBE4475-01C5-4C71-9B7C-0DAEC7284F45}" name="Comments" dataDxfId="242"/>
  </tableColumns>
  <tableStyleInfo name="TableStyleMedium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BAA34A4-FB18-4B0F-A1B7-100031315557}" name="Client_2316" displayName="Client_2316" ref="S8:AB34" totalsRowShown="0" headerRowDxfId="241" dataDxfId="240" tableBorderDxfId="239">
  <tableColumns count="10">
    <tableColumn id="6" xr3:uid="{3910792A-881E-4F68-A150-8A398AEC6448}" name=" Chart #" dataDxfId="238"/>
    <tableColumn id="1" xr3:uid="{DA97164A-C392-4E17-91CA-8072BA8346DC}" name="Provider ID" dataDxfId="237"/>
    <tableColumn id="2" xr3:uid="{804B56B4-680F-423B-81CD-EB0BF87E72D3}" name="Service Code" dataDxfId="236"/>
    <tableColumn id="3" xr3:uid="{615013EA-A8CF-479C-BABF-A12A11C25D52}" name="Service Type" dataDxfId="235"/>
    <tableColumn id="4" xr3:uid="{4C1F7B0B-EB05-4894-AA10-C0F415015F66}" name="Service Date" dataDxfId="234"/>
    <tableColumn id="5" xr3:uid="{66E4C02E-0B80-4F6B-A904-813FF8AC4547}" name="Service Minutes" dataDxfId="233"/>
    <tableColumn id="7" xr3:uid="{8D193F80-BB1E-4F95-A870-3DF29C013330}" name="$ Claimed" dataDxfId="232"/>
    <tableColumn id="9" xr3:uid="{58030400-062D-4D97-87F2-F5C1472A665F}" name="Reason for Correction" dataDxfId="231" dataCellStyle="Normal 2"/>
    <tableColumn id="12" xr3:uid="{0BA69000-3DC7-4408-996A-B7C1D1907C42}" name="Disallowed Requirement #" dataDxfId="230"/>
    <tableColumn id="11" xr3:uid="{A48A7EC1-E544-4E0A-8FDA-9E238E89F6BD}" name="Comments" dataDxfId="229"/>
  </tableColumns>
  <tableStyleInfo name="TableStyleMedium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8AECAE1-5DA7-4085-ADCA-A40362D5638F}" name="Client_2317" displayName="Client_2317" ref="S8:AB34" totalsRowShown="0" headerRowDxfId="228" dataDxfId="227" tableBorderDxfId="226">
  <tableColumns count="10">
    <tableColumn id="6" xr3:uid="{56FC1063-9FBD-47A1-B284-0C3B0601F13D}" name=" Chart #" dataDxfId="225"/>
    <tableColumn id="1" xr3:uid="{DC9851A4-AE58-423B-83DB-8DBEFCFBA347}" name="Provider ID" dataDxfId="224"/>
    <tableColumn id="2" xr3:uid="{1D358182-97CC-4B47-AAE2-251ED123BEB9}" name="Service Code" dataDxfId="223"/>
    <tableColumn id="3" xr3:uid="{E1CC83A8-371A-47D5-A25D-73243773C39A}" name="Service Type" dataDxfId="222"/>
    <tableColumn id="4" xr3:uid="{7B0C3461-F15F-4A09-86A4-171AC467ED6A}" name="Service Date" dataDxfId="221"/>
    <tableColumn id="5" xr3:uid="{9B9ADF3E-4F34-4FB5-8EC7-EFF5E491FAB1}" name="Service Minutes" dataDxfId="220"/>
    <tableColumn id="7" xr3:uid="{907A9EE6-97AD-4110-A913-EB53C3008823}" name="$ Claimed" dataDxfId="219"/>
    <tableColumn id="9" xr3:uid="{D9A17F91-95F1-420A-981B-451BCA1D8BA3}" name="Reason for Correction" dataDxfId="218" dataCellStyle="Normal 2"/>
    <tableColumn id="12" xr3:uid="{135115AB-5AF9-40DB-B626-D99A9420E59F}" name="Disallowed Requirement #" dataDxfId="217"/>
    <tableColumn id="11" xr3:uid="{3FABB861-2DF9-482D-BFE5-B9C262349E22}" name="Comments" dataDxfId="216"/>
  </tableColumns>
  <tableStyleInfo name="TableStyleMedium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C93C5AF-CF1E-4042-B371-F029E0680513}" name="Client_2318" displayName="Client_2318" ref="S8:AB34" totalsRowShown="0" headerRowDxfId="215" dataDxfId="214" tableBorderDxfId="213">
  <tableColumns count="10">
    <tableColumn id="6" xr3:uid="{9D3F8549-3E98-4711-98CA-9D0B2269098D}" name=" Chart #" dataDxfId="212"/>
    <tableColumn id="1" xr3:uid="{7A739CC3-7731-4976-B2D2-0501DFC69F61}" name="Provider ID" dataDxfId="211"/>
    <tableColumn id="2" xr3:uid="{746AF037-6104-4F2C-B1C2-FE9D26CDC8C2}" name="Service Code" dataDxfId="210"/>
    <tableColumn id="3" xr3:uid="{8863F722-46DF-4BAD-9441-1D720A827A5F}" name="Service Type" dataDxfId="209"/>
    <tableColumn id="4" xr3:uid="{825E8013-5B32-4464-96EA-91403CAB3060}" name="Service Date" dataDxfId="208"/>
    <tableColumn id="5" xr3:uid="{AD8E4CD3-775D-4F7A-828D-6F623ACC4227}" name="Service Minutes" dataDxfId="207"/>
    <tableColumn id="7" xr3:uid="{1AD67741-E086-42DA-8146-DCDB6919BDAB}" name="$ Claimed" dataDxfId="206"/>
    <tableColumn id="9" xr3:uid="{8551A067-49ED-441A-A489-E3AB57C45F8B}" name="Reason for Correction" dataDxfId="205" dataCellStyle="Normal 2"/>
    <tableColumn id="12" xr3:uid="{4A481D5F-1C2F-4351-94F6-70B679F05BE5}" name="Disallowed Requirement #" dataDxfId="204"/>
    <tableColumn id="11" xr3:uid="{74D8C862-5B5D-4985-9E40-66331A36F77F}" name="Comments" dataDxfId="203"/>
  </tableColumns>
  <tableStyleInfo name="TableStyleMedium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FED1E14-1955-4E78-ABAB-13AB8DC1BCAF}" name="Client_2319" displayName="Client_2319" ref="S8:AB34" totalsRowShown="0" headerRowDxfId="202" dataDxfId="201" tableBorderDxfId="200">
  <tableColumns count="10">
    <tableColumn id="6" xr3:uid="{9EC665A5-C067-4B59-9AA2-4E713699F6FF}" name=" Chart #" dataDxfId="199"/>
    <tableColumn id="1" xr3:uid="{2BD449B7-396D-446E-B57E-3EBFA8B19169}" name="Provider ID" dataDxfId="198"/>
    <tableColumn id="2" xr3:uid="{2949F5C1-63B6-4ED3-BACA-BE0738F5717C}" name="Service Code" dataDxfId="197"/>
    <tableColumn id="3" xr3:uid="{7738D0C6-1806-40DC-B82E-5CE686C8CAF1}" name="Service Type" dataDxfId="196"/>
    <tableColumn id="4" xr3:uid="{6346AEFE-3210-43BB-92A1-6E6A60D56892}" name="Service Date" dataDxfId="195"/>
    <tableColumn id="5" xr3:uid="{8606CDD6-B1CF-44C1-A19E-FF787FDCEC49}" name="Service Minutes" dataDxfId="194"/>
    <tableColumn id="7" xr3:uid="{D5DD4B60-9019-473A-B838-A415A78D0DA4}" name="$ Claimed" dataDxfId="193"/>
    <tableColumn id="9" xr3:uid="{31CD9D8A-0A2D-46F0-8BAD-BA1E142F035D}" name="Reason for Correction" dataDxfId="192" dataCellStyle="Normal 2"/>
    <tableColumn id="12" xr3:uid="{3B0A7B06-BC3A-41E4-B77D-706834687922}" name="Disallowed Requirement #" dataDxfId="191"/>
    <tableColumn id="11" xr3:uid="{5C5157E2-B7CE-4805-AD7F-0881A8058495}" name="Comments" dataDxfId="190"/>
  </tableColumns>
  <tableStyleInfo name="TableStyleMedium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FBEEAB0-F522-4E02-91E0-70C7F2B1EF2F}" name="Client_2320" displayName="Client_2320" ref="S8:AB34" totalsRowShown="0" headerRowDxfId="189" dataDxfId="188" tableBorderDxfId="187">
  <tableColumns count="10">
    <tableColumn id="6" xr3:uid="{D93E1732-CAFC-41A4-876E-4AFDA15AA003}" name=" Chart #" dataDxfId="186"/>
    <tableColumn id="1" xr3:uid="{33DD01FC-74B9-4993-8852-0C460F5E36C7}" name="Provider ID" dataDxfId="185"/>
    <tableColumn id="2" xr3:uid="{89E98F96-FB0C-4194-98A9-4011AF46586D}" name="Service Code" dataDxfId="184"/>
    <tableColumn id="3" xr3:uid="{35AEFE9D-3EB4-4D06-99E5-C67ED2E94441}" name="Service Type" dataDxfId="183"/>
    <tableColumn id="4" xr3:uid="{AC365B3E-63BA-41C3-9DF9-39C67E39BE26}" name="Service Date" dataDxfId="182"/>
    <tableColumn id="5" xr3:uid="{E26E0FC9-500E-4B6D-8CE1-C515865FDBC4}" name="Service Minutes" dataDxfId="181"/>
    <tableColumn id="7" xr3:uid="{B87E85CB-E788-4582-AB62-04E2E24C6CF6}" name="$ Claimed" dataDxfId="180"/>
    <tableColumn id="9" xr3:uid="{209B1E65-FE25-40C7-8248-B2B9FA12B029}" name="Reason for Correction" dataDxfId="179" dataCellStyle="Normal 2"/>
    <tableColumn id="12" xr3:uid="{9FB1E785-A6BC-4BB0-BA2A-CB701A91D43D}" name="Disallowed Requirement #" dataDxfId="178"/>
    <tableColumn id="11" xr3:uid="{BCD2D79A-4803-4AE7-9891-EAAE2528417A}" name="Comments" dataDxfId="177"/>
  </tableColumns>
  <tableStyleInfo name="TableStyleMedium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7D232B6-9088-45F7-A269-8D92259B23BF}" name="Client_2321" displayName="Client_2321" ref="S8:AB34" totalsRowShown="0" headerRowDxfId="176" dataDxfId="175" tableBorderDxfId="174">
  <tableColumns count="10">
    <tableColumn id="6" xr3:uid="{1E7802E4-97EF-49F8-AEAF-97EC37581109}" name=" Chart #" dataDxfId="173"/>
    <tableColumn id="1" xr3:uid="{7D353DCA-C93C-4FB1-B186-9FE4E1AD7AAD}" name="Provider ID" dataDxfId="172"/>
    <tableColumn id="2" xr3:uid="{E37CBD25-CA17-4C53-A246-F999E4C36CA8}" name="Service Code" dataDxfId="171"/>
    <tableColumn id="3" xr3:uid="{2F549357-D861-4CD3-AEAB-D7DACBD433B1}" name="Service Type" dataDxfId="170"/>
    <tableColumn id="4" xr3:uid="{B37232EC-87FE-4885-A314-2EEB57536249}" name="Service Date" dataDxfId="169"/>
    <tableColumn id="5" xr3:uid="{5F134D2D-2E5A-4642-AD2F-8604D1AF7B98}" name="Service Minutes" dataDxfId="168"/>
    <tableColumn id="7" xr3:uid="{8C12B56F-618C-4698-A92D-7AF94CB9F7A9}" name="$ Claimed" dataDxfId="167"/>
    <tableColumn id="9" xr3:uid="{56F48633-B8AD-46C8-9652-4C9AE17584C9}" name="Reason for Correction" dataDxfId="166" dataCellStyle="Normal 2"/>
    <tableColumn id="12" xr3:uid="{35A60EF1-8361-40AF-A7C7-F1EF729145B6}" name="Disallowed Requirement #" dataDxfId="165"/>
    <tableColumn id="11" xr3:uid="{5F238605-5735-419A-9D4F-66179C91C260}" name="Comments" dataDxfId="164"/>
  </tableColumns>
  <tableStyleInfo name="TableStyleMedium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A46AAFB-1EEB-467A-AB41-7D53B80404EE}" name="DATA" displayName="DATA" ref="A65:AQ86" totalsRowCount="1" headerRowDxfId="454" dataDxfId="453">
  <autoFilter ref="A65:AQ85" xr:uid="{8A46AAFB-1EEB-467A-AB41-7D53B80404EE}"/>
  <tableColumns count="43">
    <tableColumn id="1" xr3:uid="{621954E1-F9BF-4733-8E04-EF6C9E00289B}" name="Client" totalsRowLabel="Total" dataDxfId="452" totalsRowDxfId="451"/>
    <tableColumn id="35" xr3:uid="{B6877837-3658-4DAA-9AF5-5820339726EE}" name="Include" dataDxfId="450" totalsRowDxfId="449">
      <calculatedColumnFormula>VLOOKUP(DATA[[#This Row],[Client]],S96:T116,2,FALSE)</calculatedColumnFormula>
    </tableColumn>
    <tableColumn id="2" xr3:uid="{524547A3-1DC0-4DA2-8BCA-00CB46D91EEA}" name="A_P" totalsRowFunction="sum" dataDxfId="448" totalsRowDxfId="447">
      <calculatedColumnFormula>COUNTIF(INDIRECT("'"&amp;DATA[[#This Row],[Client]]&amp;"'!$p$9:$p$19"),"Pass")</calculatedColumnFormula>
    </tableColumn>
    <tableColumn id="3" xr3:uid="{038AC086-3A63-4EB9-93AE-B763734284E3}" name="Assessments_P%" dataDxfId="446" totalsRowDxfId="445">
      <calculatedColumnFormula>IFERROR(DATA[[#This Row],[A_P]]/(DATA[[#This Row],[A_P]]+DATA[[#This Row],[A_F]]),0)</calculatedColumnFormula>
    </tableColumn>
    <tableColumn id="4" xr3:uid="{A7DC646F-EA9E-473A-AA80-A614657FB858}" name="A_F" totalsRowFunction="sum" dataDxfId="444" totalsRowDxfId="443">
      <calculatedColumnFormula>COUNTIF(INDIRECT("'"&amp;DATA[[#This Row],[Client]]&amp;"'!$p$9:$p$19"),"Fail")</calculatedColumnFormula>
    </tableColumn>
    <tableColumn id="5" xr3:uid="{1E557445-BCE2-4E87-9C45-59647541768E}" name="Assessments_F%" dataDxfId="442" totalsRowDxfId="441">
      <calculatedColumnFormula>IFERROR(DATA[[#This Row],[A_F]]/(DATA[[#This Row],[A_P]]+DATA[[#This Row],[A_F]]),0)</calculatedColumnFormula>
    </tableColumn>
    <tableColumn id="6" xr3:uid="{1C9902F6-0567-436C-8F80-ABA969558954}" name="PL_P" totalsRowFunction="sum" dataDxfId="440" totalsRowDxfId="439">
      <calculatedColumnFormula>COUNTIF(INDIRECT("'"&amp;DATA[[#This Row],[Client]]&amp;"'!$P$24:$P$27"),"Pass")</calculatedColumnFormula>
    </tableColumn>
    <tableColumn id="7" xr3:uid="{4C4BE0C5-7526-4267-B272-46C9356C09A5}" name="ProblemList_P%" dataDxfId="438" totalsRowDxfId="437">
      <calculatedColumnFormula>IFERROR(DATA[[#This Row],[PL_P]]/(DATA[[#This Row],[PL_P]]+DATA[[#This Row],[PL_F]]),0)</calculatedColumnFormula>
    </tableColumn>
    <tableColumn id="8" xr3:uid="{25491998-A90D-4052-96D1-1C9FB9F03B56}" name="PL_F" totalsRowFunction="sum" dataDxfId="436" totalsRowDxfId="435">
      <calculatedColumnFormula>COUNTIF(INDIRECT("'"&amp;DATA[[#This Row],[Client]]&amp;"'!$P$24:$P$27"),"Fail")</calculatedColumnFormula>
    </tableColumn>
    <tableColumn id="9" xr3:uid="{F741A69B-990D-4F16-ADA1-8DD197A36ACB}" name="ProblemList_F%" dataDxfId="434" totalsRowDxfId="433">
      <calculatedColumnFormula>IFERROR(DATA[[#This Row],[PL_F]]/(DATA[[#This Row],[PL_P]]+DATA[[#This Row],[PL_F]]),0)</calculatedColumnFormula>
    </tableColumn>
    <tableColumn id="10" xr3:uid="{01C497BA-7AE6-4D8D-8B53-9EFA71E602C8}" name="PN_P" totalsRowFunction="sum" dataDxfId="432" totalsRowDxfId="431">
      <calculatedColumnFormula>COUNTIF(INDIRECT("'"&amp;DATA[[#This Row],[Client]]&amp;"'!$P$32:$P$43"),"Pass")</calculatedColumnFormula>
    </tableColumn>
    <tableColumn id="11" xr3:uid="{80302FA4-DF56-46F8-8AAB-33E73E14BEB3}" name="ProgressNotes_P%" dataDxfId="430" totalsRowDxfId="429">
      <calculatedColumnFormula>IFERROR(DATA[[#This Row],[PN_P]]/(DATA[[#This Row],[PN_P]]+DATA[[#This Row],[PN_F]]),0)</calculatedColumnFormula>
    </tableColumn>
    <tableColumn id="12" xr3:uid="{90C14A3A-5270-4B3D-8933-D29C70EA8716}" name="PN_F" totalsRowFunction="sum" dataDxfId="428" totalsRowDxfId="427">
      <calculatedColumnFormula>COUNTIF(INDIRECT("'"&amp;DATA[[#This Row],[Client]]&amp;"'!$P$32:$P$43"),"Fail")</calculatedColumnFormula>
    </tableColumn>
    <tableColumn id="13" xr3:uid="{85FBA5D0-FF9A-45DB-9A83-07BE50DF334E}" name="ProgressNotes_F%" dataDxfId="426" totalsRowDxfId="425">
      <calculatedColumnFormula>IFERROR(DATA[[#This Row],[PN_F]]/(DATA[[#This Row],[PN_P]]+DATA[[#This Row],[PN_F]]),0)</calculatedColumnFormula>
    </tableColumn>
    <tableColumn id="14" xr3:uid="{C85C8C55-95E9-4863-A03B-ED13CA339C9B}" name="OD_P" totalsRowFunction="sum" dataDxfId="424" totalsRowDxfId="423">
      <calculatedColumnFormula>COUNTIF(INDIRECT("'"&amp;DATA[[#This Row],[Client]]&amp;"'!p48:$p$55"),"Pass")</calculatedColumnFormula>
    </tableColumn>
    <tableColumn id="15" xr3:uid="{C7CD9D3F-C4C4-4133-85C3-0E9BE1053829}" name="OtherDocs_P%" dataDxfId="422" totalsRowDxfId="421">
      <calculatedColumnFormula>IFERROR(DATA[[#This Row],[OD_P]]/(DATA[[#This Row],[OD_P]]+DATA[[#This Row],[OD_F]]),0)</calculatedColumnFormula>
    </tableColumn>
    <tableColumn id="16" xr3:uid="{A5F7F115-EDD3-42E1-9F70-D382F19176A6}" name="OD_F" totalsRowFunction="sum" dataDxfId="420" totalsRowDxfId="419">
      <calculatedColumnFormula>COUNTIF(INDIRECT("'"&amp;DATA[[#This Row],[Client]]&amp;"'!N48:$P$54"),"Fail")</calculatedColumnFormula>
    </tableColumn>
    <tableColumn id="17" xr3:uid="{C74D5E59-E089-40F9-9052-B3D4FDB9882B}" name="OtherDocs_F%" dataDxfId="418" totalsRowDxfId="417">
      <calculatedColumnFormula>IFERROR(DATA[[#This Row],[OD_F]]/(DATA[[#This Row],[OD_P]]+DATA[[#This Row],[OD_F]]),0)</calculatedColumnFormula>
    </tableColumn>
    <tableColumn id="18" xr3:uid="{C465586D-0459-4E6A-BB3D-D5F213E16A0F}" name="SS_P" totalsRowFunction="sum" dataDxfId="416" totalsRowDxfId="415">
      <calculatedColumnFormula>COUNTIF(INDIRECT("'"&amp;DATA[[#This Row],[Client]]&amp;"'!$P$59:$P$63"),"Pass")</calculatedColumnFormula>
    </tableColumn>
    <tableColumn id="19" xr3:uid="{B6E99F33-52C9-475F-940C-565BD3529ED2}" name="SpecServices_P%" dataDxfId="414" totalsRowDxfId="413">
      <calculatedColumnFormula>IFERROR(DATA[[#This Row],[SS_P]]/(DATA[[#This Row],[SS_P]]+DATA[[#This Row],[SS_F]]),0)</calculatedColumnFormula>
    </tableColumn>
    <tableColumn id="20" xr3:uid="{26785C3A-243B-4E93-906C-BEB83B36445A}" name="SS_F" totalsRowFunction="sum" dataDxfId="412" totalsRowDxfId="411">
      <calculatedColumnFormula>COUNTIF(INDIRECT("'"&amp;DATA[[#This Row],[Client]]&amp;"'!$P$59:$P$63"),"Fail")</calculatedColumnFormula>
    </tableColumn>
    <tableColumn id="21" xr3:uid="{41D854E7-4503-48F9-B2A1-A56D6D8B108F}" name="SpecServices_F%" dataDxfId="410" totalsRowDxfId="409">
      <calculatedColumnFormula>IFERROR(DATA[[#This Row],[SS_F]]/(DATA[[#This Row],[SS_P]]+DATA[[#This Row],[SS_F]]),0)</calculatedColumnFormula>
    </tableColumn>
    <tableColumn id="22" xr3:uid="{9052CC5C-C45E-4542-98C5-2A49BC5FAC06}" name="B_P" totalsRowFunction="sum" dataDxfId="408" totalsRowDxfId="407">
      <calculatedColumnFormula>COUNTIF(INDIRECT("'"&amp;DATA[[#This Row],[Client]]&amp;"'!$P$68:$P$79"),"Pass")</calculatedColumnFormula>
    </tableColumn>
    <tableColumn id="23" xr3:uid="{7B856E56-2BC5-4683-8F7A-7635DF22CDC0}" name="Billing_P%" dataDxfId="406" totalsRowDxfId="405">
      <calculatedColumnFormula>IFERROR(DATA[[#This Row],[B_P]]/(DATA[[#This Row],[B_P]]+DATA[[#This Row],[B_F]]),0)</calculatedColumnFormula>
    </tableColumn>
    <tableColumn id="24" xr3:uid="{CB0BAB87-6178-476E-883E-47BEEDC459D1}" name="B_F" totalsRowFunction="sum" dataDxfId="404" totalsRowDxfId="403">
      <calculatedColumnFormula>COUNTIF(INDIRECT("'"&amp;DATA[[#This Row],[Client]]&amp;"'!$P$68:$P$79"),"Fail")</calculatedColumnFormula>
    </tableColumn>
    <tableColumn id="25" xr3:uid="{C3EBCF42-972E-4715-BAC1-42798B649171}" name="Billing_F%" dataDxfId="402" totalsRowDxfId="401">
      <calculatedColumnFormula>IFERROR(DATA[[#This Row],[B_F]]/(DATA[[#This Row],[B_P]]+DATA[[#This Row],[B_F]]),0)</calculatedColumnFormula>
    </tableColumn>
    <tableColumn id="26" xr3:uid="{1E1B4F3A-4AFC-4D84-95A9-367D6F97E18B}" name="Total" dataDxfId="400" totalsRowDxfId="399">
      <calculatedColumnFormula>SUM(DATA[[#This Row],[A_P]],DATA[[#This Row],[A_F]],DATA[[#This Row],[PL_P]],DATA[[#This Row],[PL_F]],DATA[[#This Row],[PN_P]],DATA[[#This Row],[PN_F]],DATA[[#This Row],[OD_P]],DATA[[#This Row],[OD_F]],DATA[[#This Row],[SS_P]],DATA[[#This Row],[SS_F]],DATA[[#This Row],[B_P]],DATA[[#This Row],[B_F]])</calculatedColumnFormula>
    </tableColumn>
    <tableColumn id="27" xr3:uid="{42C133BA-7A4A-4761-936B-A2BAE6916ADE}" name="Total_P" totalsRowFunction="sum">
      <calculatedColumnFormula>SUM(DATA[[#This Row],[A_P]],DATA[[#This Row],[PL_P]],DATA[[#This Row],[PN_P]],DATA[[#This Row],[OD_P]],DATA[[#This Row],[SS_P]],DATA[[#This Row],[B_P]])</calculatedColumnFormula>
    </tableColumn>
    <tableColumn id="28" xr3:uid="{7965BCA3-A9BC-42CC-A5D9-6AD319CA5AFD}" name="Total_P%" dataDxfId="398" totalsRowDxfId="397">
      <calculatedColumnFormula>IFERROR(DATA[[#This Row],[Total_P]]/DATA[[#This Row],[Total]],0)</calculatedColumnFormula>
    </tableColumn>
    <tableColumn id="29" xr3:uid="{A59F4A41-1594-4AB4-9404-8EEDA019486D}" name="Total_F" totalsRowFunction="sum">
      <calculatedColumnFormula>SUM(DATA[[#This Row],[A_F]],DATA[[#This Row],[PL_F]],DATA[[#This Row],[PN_F]],DATA[[#This Row],[OD_F]],DATA[[#This Row],[SS_F]],DATA[[#This Row],[B_F]])</calculatedColumnFormula>
    </tableColumn>
    <tableColumn id="30" xr3:uid="{5613BBFB-200E-4D00-A180-F5CD88D0D563}" name="TotalF%" dataDxfId="396" totalsRowDxfId="395">
      <calculatedColumnFormula>IFERROR(DATA[[#This Row],[Total_F]]/DATA[[#This Row],[Total]],0)</calculatedColumnFormula>
    </tableColumn>
    <tableColumn id="31" xr3:uid="{115A22CD-760A-4BC4-B5CD-F10643716245}" name="Compliant" dataDxfId="394" totalsRowDxfId="393">
      <calculatedColumnFormula>IF(DATA[[#This Row],[Total_P%]]&gt;0.9,"Yes","No")</calculatedColumnFormula>
    </tableColumn>
    <tableColumn id="32" xr3:uid="{C2E6FB8A-9059-495E-BF7E-F5F1384C2B5B}" name="Cost Disallowed" totalsRowFunction="sum" dataDxfId="392" totalsRowDxfId="391">
      <calculatedColumnFormula>SUMIFS(H92:H690,N92:N690,"Yes",M92:M690,DATA[[#This Row],[Client]])</calculatedColumnFormula>
    </tableColumn>
    <tableColumn id="33" xr3:uid="{1C15E79E-225B-4A82-A63B-23CFD12863D6}" name="Disallowances" totalsRowFunction="sum" dataDxfId="390" totalsRowDxfId="389">
      <calculatedColumnFormula>COUNTIFS(N91:N689,"Yes",M91:M689,DATA[[#This Row],[Client]])</calculatedColumnFormula>
    </tableColumn>
    <tableColumn id="34" xr3:uid="{0E02729F-1474-46BF-9797-FB31FCF72530}" name="Claim Corrections" totalsRowFunction="sum" dataDxfId="388" totalsRowDxfId="387">
      <calculatedColumnFormula>COUNTIFS(I92:I690,"&lt;&gt;0",M92:M690,DATA[[#This Row],[Client]])</calculatedColumnFormula>
    </tableColumn>
    <tableColumn id="36" xr3:uid="{39819C63-1F7D-4725-BCBF-6FF3C61769F5}" name="Claims Reviewed" dataDxfId="386" totalsRowDxfId="385">
      <calculatedColumnFormula>VLOOKUP(DATA[[#This Row],[Client]],#REF!,4,FALSE)</calculatedColumnFormula>
    </tableColumn>
    <tableColumn id="37" xr3:uid="{19D36380-EBEA-4533-A682-C1A96D74B5FC}" name="A_Tot" dataDxfId="384" totalsRowDxfId="383">
      <calculatedColumnFormula>DATA[[#This Row],[A_P]]+DATA[[#This Row],[A_F]]</calculatedColumnFormula>
    </tableColumn>
    <tableColumn id="38" xr3:uid="{710B0EBE-423B-4C96-9403-A4DE77C89DA8}" name="PL_Tot" dataDxfId="382" totalsRowDxfId="381">
      <calculatedColumnFormula>DATA[[#This Row],[PL_P]]+DATA[[#This Row],[PL_F]]</calculatedColumnFormula>
    </tableColumn>
    <tableColumn id="39" xr3:uid="{FC86DE28-46F2-4641-B6D6-61BCC7C7EE8F}" name="PN_Tot" dataDxfId="380" totalsRowDxfId="379">
      <calculatedColumnFormula>DATA[[#This Row],[PN_P]]+DATA[[#This Row],[PN_F]]</calculatedColumnFormula>
    </tableColumn>
    <tableColumn id="40" xr3:uid="{A9C37527-6248-4600-B615-6D0E25C27D0A}" name="OD_Tot" dataDxfId="378" totalsRowDxfId="377">
      <calculatedColumnFormula>DATA[[#This Row],[OD_P]]+DATA[[#This Row],[OD_F]]</calculatedColumnFormula>
    </tableColumn>
    <tableColumn id="41" xr3:uid="{0E2A5BA3-C513-47F0-B299-D38EEFA1AC99}" name="SS_Tot" dataDxfId="376" totalsRowDxfId="375">
      <calculatedColumnFormula>DATA[[#This Row],[SS_P]]+DATA[[#This Row],[SS_F]]</calculatedColumnFormula>
    </tableColumn>
    <tableColumn id="42" xr3:uid="{D4575DFD-4423-4F10-BFFA-52F021236135}" name="B_Tot" dataDxfId="374" totalsRowDxfId="373">
      <calculatedColumnFormula>DATA[[#This Row],[B_P]]+DATA[[#This Row],[B_F]]</calculatedColumnFormula>
    </tableColumn>
    <tableColumn id="43" xr3:uid="{530BA040-7A1B-4527-9366-593126092541}" name="CP Total" dataDxfId="372" totalsRowDxfId="371"/>
  </tableColumns>
  <tableStyleInfo name="TableStyleMedium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C5F3697E-ABD1-44A8-BDD1-6355BFE1F297}" name="Client_2322" displayName="Client_2322" ref="S8:AB34" totalsRowShown="0" headerRowDxfId="163" dataDxfId="162" tableBorderDxfId="161">
  <tableColumns count="10">
    <tableColumn id="6" xr3:uid="{3A19C06C-47E8-4F7B-A31E-FF2BF87B93E8}" name=" Chart #" dataDxfId="160"/>
    <tableColumn id="1" xr3:uid="{282F100E-6894-4D90-B55B-14AC727E5C50}" name="Provider ID" dataDxfId="159"/>
    <tableColumn id="2" xr3:uid="{8473CCFF-DC11-418F-8421-3307099F1CD0}" name="Service Code" dataDxfId="158"/>
    <tableColumn id="3" xr3:uid="{E1C1AEDD-439A-4A60-8682-F0C750837ED6}" name="Service Type" dataDxfId="157"/>
    <tableColumn id="4" xr3:uid="{9D6C14C4-7D81-44A7-B99C-DC07202F6629}" name="Service Date" dataDxfId="156"/>
    <tableColumn id="5" xr3:uid="{4D49C991-7267-4026-8D7E-B34CBB4CEACC}" name="Service Minutes" dataDxfId="155"/>
    <tableColumn id="7" xr3:uid="{9AF82FC7-C44D-43DB-9022-E313C969147F}" name="$ Claimed" dataDxfId="154"/>
    <tableColumn id="9" xr3:uid="{69CD5276-E7B2-454B-960A-52E8E6414C17}" name="Reason for Correction" dataDxfId="153" dataCellStyle="Normal 2"/>
    <tableColumn id="12" xr3:uid="{914D2027-C743-4E7A-A76A-04D46574FCDA}" name="Disallowed Requirement #" dataDxfId="152"/>
    <tableColumn id="11" xr3:uid="{D4F9CE4A-613C-4085-9986-A59C9F034364}" name="Comments" dataDxfId="151"/>
  </tableColumns>
  <tableStyleInfo name="TableStyleMedium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67F5B97C-2154-462B-B014-BC5E065FD5B2}" name="Client_2323" displayName="Client_2323" ref="S8:AB34" totalsRowShown="0" headerRowDxfId="150" dataDxfId="149" tableBorderDxfId="148">
  <tableColumns count="10">
    <tableColumn id="6" xr3:uid="{4AA9A440-E5B6-464A-94EC-41F26E35FDDE}" name=" Chart #" dataDxfId="147"/>
    <tableColumn id="1" xr3:uid="{23739F85-928B-40E7-A28D-803899A6CCFF}" name="Provider ID" dataDxfId="146"/>
    <tableColumn id="2" xr3:uid="{9279F64A-9079-4B29-8EB9-9763B5893220}" name="Service Code" dataDxfId="145"/>
    <tableColumn id="3" xr3:uid="{5C0D7FC3-D7A6-4983-889D-B48BDB9A143F}" name="Service Type" dataDxfId="144"/>
    <tableColumn id="4" xr3:uid="{45FACA15-18FF-4199-8B2E-35A1D63C83CA}" name="Service Date" dataDxfId="143"/>
    <tableColumn id="5" xr3:uid="{FF802B64-C637-4A97-BCF6-9F6F897A6D34}" name="Service Minutes" dataDxfId="142"/>
    <tableColumn id="7" xr3:uid="{C0B930CE-2AEE-4C43-8844-F7D76EB6D02F}" name="$ Claimed" dataDxfId="141"/>
    <tableColumn id="9" xr3:uid="{43BBA098-F6A0-4181-8824-28F9B90BA5D8}" name="Reason for Correction" dataDxfId="140" dataCellStyle="Normal 2"/>
    <tableColumn id="12" xr3:uid="{169F1282-8848-47DE-807E-37237FB7AF35}" name="Disallowed Requirement #" dataDxfId="139"/>
    <tableColumn id="11" xr3:uid="{7E2D0FC4-A91B-4A2A-B72C-30884CC51DF5}" name="Comments" dataDxfId="138"/>
  </tableColumns>
  <tableStyleInfo name="TableStyleMedium1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F4C449-DACC-4CBB-AC0A-6996B8F92498}" name="Client_2324" displayName="Client_2324" ref="S8:AB34" totalsRowShown="0" headerRowDxfId="137" dataDxfId="136" tableBorderDxfId="135">
  <tableColumns count="10">
    <tableColumn id="6" xr3:uid="{EFE9566F-BF1E-48CC-B53B-2EC4796A1E59}" name=" Chart #" dataDxfId="134"/>
    <tableColumn id="1" xr3:uid="{4C38982B-5C04-4460-9BD3-7394A7FA6690}" name="Provider ID" dataDxfId="133"/>
    <tableColumn id="2" xr3:uid="{8D868F97-53BE-4C92-A21E-B8BA3FDF04FF}" name="Service Code" dataDxfId="132"/>
    <tableColumn id="3" xr3:uid="{583CF82A-3E4E-474F-A200-5B7740BCE639}" name="Service Type" dataDxfId="131"/>
    <tableColumn id="4" xr3:uid="{76251003-FD50-4454-AFD7-2DA32A00E5E8}" name="Service Date" dataDxfId="130"/>
    <tableColumn id="5" xr3:uid="{4E5CFE44-A241-4A16-A597-BFE6EA251DAE}" name="Service Minutes" dataDxfId="129"/>
    <tableColumn id="7" xr3:uid="{6E222246-C7D3-4133-AE92-C11D52F9A9C7}" name="$ Claimed" dataDxfId="128"/>
    <tableColumn id="9" xr3:uid="{CDAE0DA1-4DA0-440D-8D01-D4B165C134B3}" name="Reason for Correction" dataDxfId="127" dataCellStyle="Normal 2"/>
    <tableColumn id="12" xr3:uid="{1C83D886-098D-4B34-8481-BCE9B7D82B95}" name="Disallowed Requirement #" dataDxfId="126"/>
    <tableColumn id="11" xr3:uid="{C20CDD23-72E0-474F-AEE9-618429046B60}" name="Comments" dataDxfId="125"/>
  </tableColumns>
  <tableStyleInfo name="TableStyleMedium1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59AC0D3-775F-417B-A6EC-B771CE194308}" name="Client_2325" displayName="Client_2325" ref="S8:AB34" totalsRowShown="0" headerRowDxfId="124" dataDxfId="123" tableBorderDxfId="122">
  <tableColumns count="10">
    <tableColumn id="6" xr3:uid="{66C6B2CC-4AC4-4A88-8007-1611AE746BC6}" name=" Chart #" dataDxfId="121"/>
    <tableColumn id="1" xr3:uid="{12A3E603-F70D-46C4-B1EE-89084868577E}" name="Provider ID" dataDxfId="120"/>
    <tableColumn id="2" xr3:uid="{9A234B17-1B29-40B3-8907-45B7CDC23783}" name="Service Code" dataDxfId="119"/>
    <tableColumn id="3" xr3:uid="{D98BE488-B29F-4D8D-B1FC-ADCD9D0DA88A}" name="Service Type" dataDxfId="118"/>
    <tableColumn id="4" xr3:uid="{D468612F-8815-4D2B-88EF-E492A6C58498}" name="Service Date" dataDxfId="117"/>
    <tableColumn id="5" xr3:uid="{6018F098-7EBE-43B8-BED0-0C0890D1B471}" name="Service Minutes" dataDxfId="116"/>
    <tableColumn id="7" xr3:uid="{D8E9E1D7-E577-4601-A088-3EB55323B1FE}" name="$ Claimed" dataDxfId="115"/>
    <tableColumn id="9" xr3:uid="{0905E236-A598-4294-8D9B-0F03D0BAC1A7}" name="Reason for Correction" dataDxfId="114" dataCellStyle="Normal 2"/>
    <tableColumn id="12" xr3:uid="{43542722-11F1-4919-9481-F0CB4A61991A}" name="Disallowed Requirement #" dataDxfId="113"/>
    <tableColumn id="11" xr3:uid="{C82F02F3-42B8-433C-9E6F-4158C98DC7E3}" name="Comments" dataDxfId="112"/>
  </tableColumns>
  <tableStyleInfo name="TableStyleMedium1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3BD23EA-187F-4A17-A587-E8FA663BF80F}" name="Client_2326" displayName="Client_2326" ref="S8:AB34" totalsRowShown="0" headerRowDxfId="111" dataDxfId="110" tableBorderDxfId="109">
  <tableColumns count="10">
    <tableColumn id="6" xr3:uid="{70635F3D-5CDC-4978-BEA1-96A634D9018E}" name=" Chart #" dataDxfId="108"/>
    <tableColumn id="1" xr3:uid="{E6833135-E537-4051-837D-3EC36BD89031}" name="Provider ID" dataDxfId="107"/>
    <tableColumn id="2" xr3:uid="{D10920F8-6EC4-490D-9787-1A4B8C77896E}" name="Service Code" dataDxfId="106"/>
    <tableColumn id="3" xr3:uid="{75D31DDB-469C-4269-92D9-59D2A5A1FE2B}" name="Service Type" dataDxfId="105"/>
    <tableColumn id="4" xr3:uid="{CC2DC215-08C3-4F16-A804-A0B7E2CF0DE1}" name="Service Date" dataDxfId="104"/>
    <tableColumn id="5" xr3:uid="{A58EB4C6-1D41-4B64-9240-3C3221CC3357}" name="Service Minutes" dataDxfId="103"/>
    <tableColumn id="7" xr3:uid="{9365D68A-D780-41DD-9CDE-55D8DFE21E67}" name="$ Claimed" dataDxfId="102"/>
    <tableColumn id="9" xr3:uid="{E2A2E45D-9064-4D95-8C56-6D67E637A324}" name="Reason for Correction" dataDxfId="101" dataCellStyle="Normal 2"/>
    <tableColumn id="12" xr3:uid="{B4854ADF-3C2D-4CF6-97A3-90891139C808}" name="Disallowed Requirement #" dataDxfId="100"/>
    <tableColumn id="11" xr3:uid="{45D2A990-CA0C-488F-9AD2-B265B8D1928C}" name="Comments" dataDxfId="99"/>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22CB03B-21C5-4B02-B678-25437E896D67}" name="CORRECTIONCODES" displayName="CORRECTIONCODES" ref="A3:D12" totalsRowShown="0" headerRowDxfId="370" dataDxfId="369">
  <autoFilter ref="A3:D12" xr:uid="{222CB03B-21C5-4B02-B678-25437E896D67}"/>
  <tableColumns count="4">
    <tableColumn id="1" xr3:uid="{1DA11BFE-F84D-4767-B950-00DADF89BABF}" name="Code" dataDxfId="368"/>
    <tableColumn id="3" xr3:uid="{5C65D2E8-C638-43D6-AF6D-A816BD250103}" name="Type" dataDxfId="367"/>
    <tableColumn id="2" xr3:uid="{6F57EDFA-095A-4F74-845D-B7638DE36BC8}" name="Description" dataDxfId="366"/>
    <tableColumn id="4" xr3:uid="{976A045B-DEE4-4BF1-A816-BEE2D539F521}" name="Full" dataDxfId="365">
      <calculatedColumnFormula>CORRECTIONCODES[[#This Row],[Description]]</calculatedColumnFormula>
    </tableColumn>
  </tableColumns>
  <tableStyleInfo name="TableStyleLight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D65DFF-5C52-4D79-81EA-9B070755B9FC}" name="DISALLOWANCE" displayName="DISALLOWANCE" ref="A16:D29" totalsRowShown="0" headerRowDxfId="364" dataDxfId="363">
  <autoFilter ref="A16:D29" xr:uid="{00D65DFF-5C52-4D79-81EA-9B070755B9FC}"/>
  <tableColumns count="4">
    <tableColumn id="1" xr3:uid="{D2CA796F-2BC6-463E-8519-A49C1783EFB2}" name="Req#" dataDxfId="362"/>
    <tableColumn id="2" xr3:uid="{84BAC82D-6C73-460C-8734-45CF380644B0}" name="Section" dataDxfId="361"/>
    <tableColumn id="3" xr3:uid="{2A9F399D-4CE2-47A4-934F-1A5767BAFE0D}" name="Description" dataDxfId="360"/>
    <tableColumn id="4" xr3:uid="{4E59E54D-8F57-496B-8FD8-316BAD64DD35}" name="Full" dataDxfId="359">
      <calculatedColumnFormula>DISALLOWANCE[[#This Row],[Req'#]]&amp;" - "&amp;DISALLOWANCE[[#This Row],[Section]]&amp;": "&amp;DISALLOWANCE[[#This Row],[Description]]</calculatedColumnFormula>
    </tableColumn>
  </tableColumns>
  <tableStyleInfo name="TableStyleLight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F1A416A-E071-48C9-AD3E-98BEB296EC83}" name="Client_23" displayName="Client_23" ref="T8:AC34" totalsRowShown="0" headerRowDxfId="358" dataDxfId="357" tableBorderDxfId="356">
  <tableColumns count="10">
    <tableColumn id="6" xr3:uid="{3F847410-5297-447D-BA45-BD3F93FB743B}" name=" Chart #" dataDxfId="355"/>
    <tableColumn id="1" xr3:uid="{EBFCA916-257C-4328-8ECA-254B51D800D5}" name="Provider ID" dataDxfId="354"/>
    <tableColumn id="2" xr3:uid="{F6769BB8-E6A2-4CD9-ABFE-1760A887181E}" name="Service Code" dataDxfId="353"/>
    <tableColumn id="3" xr3:uid="{F724B00C-8C9B-4EDD-9520-738F8328DC5B}" name="Service Type" dataDxfId="352"/>
    <tableColumn id="4" xr3:uid="{FBC0FEEE-DD1A-4ED6-A8BA-CB11DA333A80}" name="Service Date" dataDxfId="351"/>
    <tableColumn id="5" xr3:uid="{A4F5D9F0-9423-4F3E-919A-B6EA0CE63DEA}" name="Service Minutes" dataDxfId="350"/>
    <tableColumn id="7" xr3:uid="{E1AED285-F404-4792-B3E1-4CC05B49EA2F}" name="$ Claimed" dataDxfId="349"/>
    <tableColumn id="9" xr3:uid="{133254C4-B731-460B-BD28-40BC5730A61D}" name="Reason for Correction" dataDxfId="348" dataCellStyle="Normal 2"/>
    <tableColumn id="12" xr3:uid="{061723D6-9697-455F-9127-A4BA655F7190}" name="Disallowed Requirement #" dataDxfId="347"/>
    <tableColumn id="11" xr3:uid="{AB5436EF-56A7-49E0-85C2-8DA7931762DA}" name="Comments" dataDxfId="346"/>
  </tableColumns>
  <tableStyleInfo name="TableStyleMedium1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6C04D60-5A61-4CA9-9EE1-0111B214F052}" name="Client_235" displayName="Client_235" ref="T8:AC34" totalsRowShown="0" headerRowDxfId="345" dataDxfId="344" tableBorderDxfId="343">
  <tableColumns count="10">
    <tableColumn id="6" xr3:uid="{2533A6E5-34E8-41B5-8A5D-3DD206A541D4}" name=" Chart #" dataDxfId="342"/>
    <tableColumn id="1" xr3:uid="{20932894-5C24-4F64-A291-0DB2A3A7C7A8}" name="Provider ID" dataDxfId="341"/>
    <tableColumn id="2" xr3:uid="{94384D10-D439-4E05-A34A-5B29BED0F5B6}" name="Service Code" dataDxfId="340"/>
    <tableColumn id="3" xr3:uid="{6199C066-81B5-44C4-BC79-9B2325131642}" name="Service Type" dataDxfId="339"/>
    <tableColumn id="4" xr3:uid="{6387C690-3B97-4143-ADFD-D9B226291C18}" name="Service Date" dataDxfId="338"/>
    <tableColumn id="5" xr3:uid="{EBF134CD-EDEF-4BE2-A8E5-8CA9BD1163F9}" name="Service Minutes" dataDxfId="337"/>
    <tableColumn id="7" xr3:uid="{8B8C7DCD-1C97-4BF1-9963-5398E227E855}" name="$ Claimed" dataDxfId="336"/>
    <tableColumn id="9" xr3:uid="{89FFF63D-093F-4CE6-BB6A-485E9530B7B3}" name="Reason for Correction" dataDxfId="335" dataCellStyle="Normal 2"/>
    <tableColumn id="12" xr3:uid="{3B256B05-9F79-490E-B265-A87098BEDEFA}" name="Disallowed Requirement #" dataDxfId="334"/>
    <tableColumn id="11" xr3:uid="{13EBF301-149E-4FA4-9810-B812341A8073}" name="Comments" dataDxfId="333"/>
  </tableColumns>
  <tableStyleInfo name="TableStyleMedium1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B7211B8-5655-430E-AAB9-6985A6C67BC1}" name="Client_236" displayName="Client_236" ref="T8:AC34" totalsRowShown="0" headerRowDxfId="332" dataDxfId="331" tableBorderDxfId="330">
  <tableColumns count="10">
    <tableColumn id="6" xr3:uid="{90BF24E2-5345-4B1C-9EA8-26B38AE3F88F}" name=" Chart #" dataDxfId="329"/>
    <tableColumn id="1" xr3:uid="{C758AA62-D70B-4AEC-A128-430DAD4AD913}" name="Provider ID" dataDxfId="328"/>
    <tableColumn id="2" xr3:uid="{523BF8EE-48D7-4A81-A6EB-13D92F739C88}" name="Service Code" dataDxfId="327"/>
    <tableColumn id="3" xr3:uid="{31D7F82E-9E25-4565-B406-C4C8DF9D62EC}" name="Service Type" dataDxfId="326"/>
    <tableColumn id="4" xr3:uid="{B3FF3558-6725-43E8-A06F-217612705C6F}" name="Service Date" dataDxfId="325"/>
    <tableColumn id="5" xr3:uid="{48D014F8-E948-4808-8793-461B0D50A6C0}" name="Service Minutes" dataDxfId="324"/>
    <tableColumn id="7" xr3:uid="{8DADB334-1002-40A4-914E-68AA50014273}" name="$ Claimed" dataDxfId="323"/>
    <tableColumn id="9" xr3:uid="{83E97704-61F8-4132-A78C-D47D8F1B9C80}" name="Reason for Correction" dataDxfId="322" dataCellStyle="Normal 2"/>
    <tableColumn id="12" xr3:uid="{52D874C4-265F-4E82-AA2D-42E0359199BC}" name="Disallowed Requirement #" dataDxfId="321"/>
    <tableColumn id="11" xr3:uid="{622037AC-E371-426A-93DC-5C8D3426AD49}" name="Comments" dataDxfId="320"/>
  </tableColumns>
  <tableStyleInfo name="TableStyleMedium1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3231B08-8629-4A04-B48F-75968FE0FE56}" name="Client_238" displayName="Client_238" ref="S8:AB34" totalsRowShown="0" headerRowDxfId="319" dataDxfId="318" tableBorderDxfId="317">
  <tableColumns count="10">
    <tableColumn id="6" xr3:uid="{B2A09703-4B15-4CB5-9B09-3534DDBB5A81}" name=" Chart #" dataDxfId="316"/>
    <tableColumn id="1" xr3:uid="{6A8C734A-0CA8-4305-B877-9C389B395F05}" name="Provider ID" dataDxfId="315"/>
    <tableColumn id="2" xr3:uid="{8D8A4357-1B1D-4EBE-94C7-220352C9D4A8}" name="Service Code" dataDxfId="314"/>
    <tableColumn id="3" xr3:uid="{E72F2421-E0D0-41CF-9574-3E1AFC1B73FE}" name="Service Type" dataDxfId="313"/>
    <tableColumn id="4" xr3:uid="{56935338-CE37-47B9-9F81-7095DFC0AA93}" name="Service Date" dataDxfId="312"/>
    <tableColumn id="5" xr3:uid="{0BFCCBAF-FF22-404C-8B7A-F645F8B766D0}" name="Service Minutes" dataDxfId="311"/>
    <tableColumn id="7" xr3:uid="{DB534599-0D7A-4A13-89D6-91468273D428}" name="$ Claimed" dataDxfId="310"/>
    <tableColumn id="9" xr3:uid="{DFA7C530-CE96-4A8B-A3DE-B1AA903CE621}" name="Reason for Correction" dataDxfId="309" dataCellStyle="Normal 2"/>
    <tableColumn id="12" xr3:uid="{0E49A97C-619B-4398-9211-60CFB235CB9E}" name="Disallowed Requirement #" dataDxfId="308"/>
    <tableColumn id="11" xr3:uid="{C32DAC40-989C-4BE6-AD35-6C0F3C6DDBB9}" name="Comments" dataDxfId="307"/>
  </tableColumns>
  <tableStyleInfo name="TableStyleMedium1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584C10B-1A24-4484-B830-79365BDB7520}" name="Client_239" displayName="Client_239" ref="S8:AB34" totalsRowShown="0" headerRowDxfId="306" dataDxfId="305" tableBorderDxfId="304">
  <tableColumns count="10">
    <tableColumn id="6" xr3:uid="{814946FE-9F75-405A-8028-B060517EAF9C}" name=" Chart #" dataDxfId="303"/>
    <tableColumn id="1" xr3:uid="{DA8903FA-9BD5-4507-9C0B-15350AE4830D}" name="Provider ID" dataDxfId="302"/>
    <tableColumn id="2" xr3:uid="{20FD1A70-0B42-4DC1-908D-F1145742FCD4}" name="Service Code" dataDxfId="301"/>
    <tableColumn id="3" xr3:uid="{E8095F80-B502-4B5B-83B8-0F610F0D3313}" name="Service Type" dataDxfId="300"/>
    <tableColumn id="4" xr3:uid="{B8F75C72-3949-476E-810E-16581A937384}" name="Service Date" dataDxfId="299"/>
    <tableColumn id="5" xr3:uid="{2BD1C104-0E8F-45F1-8B7F-49D795C1D2E1}" name="Service Minutes" dataDxfId="298"/>
    <tableColumn id="7" xr3:uid="{7D429F63-3885-4143-9463-225AF5F08DE9}" name="$ Claimed" dataDxfId="297"/>
    <tableColumn id="9" xr3:uid="{C50162C2-F42D-4212-B179-63DC77D1A45B}" name="Reason for Correction" dataDxfId="296" dataCellStyle="Normal 2"/>
    <tableColumn id="12" xr3:uid="{AD61E615-4E21-41E1-956C-844A0F3ADA9D}" name="Disallowed Requirement #" dataDxfId="295"/>
    <tableColumn id="11" xr3:uid="{B4D2B8FB-8704-42B0-977B-3760DCC95D4D}" name="Comments" dataDxfId="294"/>
  </tableColumns>
  <tableStyleInfo name="TableStyleMedium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5" Type="http://schemas.openxmlformats.org/officeDocument/2006/relationships/image" Target="../media/image1.wmf"/><Relationship Id="rId4" Type="http://schemas.openxmlformats.org/officeDocument/2006/relationships/oleObject" Target="../embeddings/oleObject3.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9.bin"/><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2397F-D0C3-4E7B-AD3E-3E623C5EA923}">
  <dimension ref="A1:F19"/>
  <sheetViews>
    <sheetView showGridLines="0" tabSelected="1" view="pageBreakPreview" zoomScaleNormal="100" zoomScaleSheetLayoutView="100" workbookViewId="0">
      <selection activeCell="A9" sqref="A9"/>
    </sheetView>
  </sheetViews>
  <sheetFormatPr defaultColWidth="9.140625" defaultRowHeight="12.75" x14ac:dyDescent="0.2"/>
  <cols>
    <col min="1" max="1" width="119.42578125" style="180" customWidth="1"/>
    <col min="2" max="2" width="9.42578125" style="180" customWidth="1"/>
    <col min="3" max="16384" width="9.140625" style="180"/>
  </cols>
  <sheetData>
    <row r="1" spans="1:6" ht="169.5" customHeight="1" x14ac:dyDescent="0.2">
      <c r="E1" s="245"/>
    </row>
    <row r="2" spans="1:6" s="269" customFormat="1" ht="19.5" customHeight="1" x14ac:dyDescent="0.2">
      <c r="A2" s="268" t="s">
        <v>409</v>
      </c>
      <c r="E2" s="270"/>
    </row>
    <row r="3" spans="1:6" s="269" customFormat="1" ht="19.5" customHeight="1" x14ac:dyDescent="0.2">
      <c r="A3" s="271" t="s">
        <v>410</v>
      </c>
      <c r="E3" s="270"/>
    </row>
    <row r="4" spans="1:6" s="269" customFormat="1" ht="19.5" customHeight="1" x14ac:dyDescent="0.2">
      <c r="A4" s="272" t="s">
        <v>411</v>
      </c>
      <c r="E4" s="273"/>
    </row>
    <row r="5" spans="1:6" s="269" customFormat="1" ht="19.5" customHeight="1" x14ac:dyDescent="0.2">
      <c r="A5" s="272" t="s">
        <v>411</v>
      </c>
      <c r="E5" s="245"/>
      <c r="F5" s="274"/>
    </row>
    <row r="6" spans="1:6" s="269" customFormat="1" ht="19.5" customHeight="1" x14ac:dyDescent="0.2">
      <c r="A6" s="272" t="s">
        <v>411</v>
      </c>
      <c r="E6" s="273"/>
    </row>
    <row r="7" spans="1:6" s="269" customFormat="1" x14ac:dyDescent="0.2">
      <c r="E7" s="273"/>
    </row>
    <row r="8" spans="1:6" s="269" customFormat="1" ht="32.25" customHeight="1" x14ac:dyDescent="0.2">
      <c r="A8" s="275" t="s">
        <v>412</v>
      </c>
      <c r="E8" s="276"/>
    </row>
    <row r="9" spans="1:6" s="269" customFormat="1" ht="33" customHeight="1" x14ac:dyDescent="0.2">
      <c r="A9" s="277" t="s">
        <v>413</v>
      </c>
      <c r="E9" s="276"/>
    </row>
    <row r="10" spans="1:6" s="269" customFormat="1" ht="309.75" customHeight="1" x14ac:dyDescent="0.2">
      <c r="A10" s="278" t="s">
        <v>414</v>
      </c>
    </row>
    <row r="11" spans="1:6" ht="17.25" customHeight="1" x14ac:dyDescent="0.2">
      <c r="A11" s="277" t="s">
        <v>415</v>
      </c>
    </row>
    <row r="12" spans="1:6" ht="17.25" customHeight="1" x14ac:dyDescent="0.2">
      <c r="A12" s="215" t="s">
        <v>416</v>
      </c>
    </row>
    <row r="13" spans="1:6" ht="15.75" customHeight="1" x14ac:dyDescent="0.2">
      <c r="A13" s="215"/>
    </row>
    <row r="14" spans="1:6" ht="12.75" customHeight="1" x14ac:dyDescent="0.2">
      <c r="A14" s="215" t="s">
        <v>417</v>
      </c>
    </row>
    <row r="15" spans="1:6" ht="13.5" customHeight="1" x14ac:dyDescent="0.2">
      <c r="A15" s="180" t="s">
        <v>418</v>
      </c>
    </row>
    <row r="16" spans="1:6" ht="12.75" hidden="1" customHeight="1" x14ac:dyDescent="0.2"/>
    <row r="17" ht="21" customHeight="1" x14ac:dyDescent="0.2"/>
    <row r="18" ht="15.75" customHeight="1" x14ac:dyDescent="0.2"/>
    <row r="19" ht="37.5" customHeight="1" x14ac:dyDescent="0.2"/>
  </sheetData>
  <sheetProtection algorithmName="SHA-512" hashValue="xYqlRwnh5bjO1F0HqbH/JdBz5U7bfh0wZJMex5VmjhgYKNVqoBor4KIrjAgLqlqfpeiLdmwqtw2SOsXbEH1Vpg==" saltValue="clHA5kR88s7CJjoeQYQqsw==" spinCount="100000" sheet="1" objects="1" scenarios="1"/>
  <printOptions horizontalCentered="1"/>
  <pageMargins left="0.24" right="0.25" top="0.95" bottom="0.63" header="0.38" footer="0.25"/>
  <pageSetup scale="80" orientation="portrait" r:id="rId1"/>
  <headerFooter alignWithMargins="0">
    <oddFooter>&amp;R&amp;P</oddFooter>
  </headerFooter>
  <drawing r:id="rId2"/>
  <legacyDrawing r:id="rId3"/>
  <oleObjects>
    <mc:AlternateContent xmlns:mc="http://schemas.openxmlformats.org/markup-compatibility/2006">
      <mc:Choice Requires="x14">
        <oleObject progId="Word.Picture.8" shapeId="29697" r:id="rId4">
          <objectPr defaultSize="0" autoPict="0" r:id="rId5">
            <anchor moveWithCells="1" sizeWithCells="1">
              <from>
                <xdr:col>0</xdr:col>
                <xdr:colOff>590550</xdr:colOff>
                <xdr:row>0</xdr:row>
                <xdr:rowOff>9525</xdr:rowOff>
              </from>
              <to>
                <xdr:col>0</xdr:col>
                <xdr:colOff>7429500</xdr:colOff>
                <xdr:row>0</xdr:row>
                <xdr:rowOff>1171575</xdr:rowOff>
              </to>
            </anchor>
          </objectPr>
        </oleObject>
      </mc:Choice>
      <mc:Fallback>
        <oleObject progId="Word.Picture.8" shapeId="29697" r:id="rId4"/>
      </mc:Fallback>
    </mc:AlternateContent>
    <mc:AlternateContent xmlns:mc="http://schemas.openxmlformats.org/markup-compatibility/2006">
      <mc:Choice Requires="x14">
        <oleObject progId="Word.Picture.8" shapeId="29698" r:id="rId6">
          <objectPr defaultSize="0" autoPict="0" r:id="rId5">
            <anchor moveWithCells="1" sizeWithCells="1">
              <from>
                <xdr:col>0</xdr:col>
                <xdr:colOff>590550</xdr:colOff>
                <xdr:row>0</xdr:row>
                <xdr:rowOff>9525</xdr:rowOff>
              </from>
              <to>
                <xdr:col>0</xdr:col>
                <xdr:colOff>7429500</xdr:colOff>
                <xdr:row>0</xdr:row>
                <xdr:rowOff>1171575</xdr:rowOff>
              </to>
            </anchor>
          </objectPr>
        </oleObject>
      </mc:Choice>
      <mc:Fallback>
        <oleObject progId="Word.Picture.8" shapeId="29698"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33F5C-9AA0-4D63-89F9-8F2BA266B2ED}">
  <sheetPr>
    <tabColor rgb="FF92D050"/>
  </sheetPr>
  <dimension ref="B2:AB8"/>
  <sheetViews>
    <sheetView workbookViewId="0">
      <selection activeCell="I24" sqref="I24"/>
    </sheetView>
  </sheetViews>
  <sheetFormatPr defaultRowHeight="12.75" x14ac:dyDescent="0.2"/>
  <cols>
    <col min="1" max="3" width="9.140625" style="180"/>
    <col min="4" max="4" width="18.7109375" style="180" customWidth="1"/>
    <col min="5" max="5" width="13.28515625" style="180" customWidth="1"/>
    <col min="6" max="6" width="16.85546875" style="180" customWidth="1"/>
    <col min="7" max="7" width="14.42578125" style="180" customWidth="1"/>
    <col min="8" max="8" width="13.140625" style="180" customWidth="1"/>
    <col min="9" max="10" width="9.140625" style="180"/>
    <col min="11" max="11" width="12.140625" style="180" customWidth="1"/>
    <col min="12" max="16384" width="9.140625" style="180"/>
  </cols>
  <sheetData>
    <row r="2" spans="2:28" ht="104.25" x14ac:dyDescent="0.2">
      <c r="B2" s="411" t="s">
        <v>374</v>
      </c>
      <c r="C2" s="411" t="s">
        <v>577</v>
      </c>
      <c r="D2" s="412" t="s">
        <v>585</v>
      </c>
      <c r="E2" s="411" t="s">
        <v>513</v>
      </c>
      <c r="F2" s="413" t="s">
        <v>668</v>
      </c>
      <c r="G2" s="413" t="s">
        <v>669</v>
      </c>
      <c r="H2" s="413" t="s">
        <v>56</v>
      </c>
      <c r="I2" s="414" t="s">
        <v>670</v>
      </c>
      <c r="J2" s="414" t="s">
        <v>671</v>
      </c>
      <c r="K2" s="414" t="s">
        <v>672</v>
      </c>
      <c r="L2" s="415" t="s">
        <v>592</v>
      </c>
      <c r="M2" s="416" t="s">
        <v>131</v>
      </c>
      <c r="N2" s="416" t="s">
        <v>489</v>
      </c>
      <c r="O2" s="417" t="s">
        <v>523</v>
      </c>
      <c r="P2" s="417" t="s">
        <v>490</v>
      </c>
      <c r="Q2" s="417" t="s">
        <v>491</v>
      </c>
      <c r="R2" s="416" t="s">
        <v>673</v>
      </c>
      <c r="S2" s="416" t="s">
        <v>137</v>
      </c>
    </row>
    <row r="3" spans="2:28" x14ac:dyDescent="0.2">
      <c r="B3" s="418" t="e">
        <f>'Review Results'!K11</f>
        <v>#DIV/0!</v>
      </c>
      <c r="C3" s="418" t="str">
        <f>'Review Results'!F8</f>
        <v/>
      </c>
      <c r="D3" s="180">
        <f ca="1">'Review Results'!F9</f>
        <v>0</v>
      </c>
      <c r="E3" s="418" t="e">
        <f ca="1">'Review Results'!F10</f>
        <v>#DIV/0!</v>
      </c>
      <c r="F3" s="418" t="e">
        <f>'Review Results'!K11</f>
        <v>#DIV/0!</v>
      </c>
      <c r="G3" s="419">
        <f>'Review Results'!F5</f>
        <v>0</v>
      </c>
      <c r="H3" s="180">
        <f>'Review Results'!F7</f>
        <v>0</v>
      </c>
      <c r="L3" s="418" t="e">
        <f>Data!T123</f>
        <v>#DIV/0!</v>
      </c>
      <c r="M3" s="418">
        <f ca="1">Data!U123</f>
        <v>0</v>
      </c>
      <c r="N3" s="418">
        <f ca="1">Data!V123</f>
        <v>0</v>
      </c>
      <c r="O3" s="418">
        <f>Data!W123</f>
        <v>0</v>
      </c>
      <c r="P3" s="418">
        <f ca="1">Data!X123</f>
        <v>0</v>
      </c>
      <c r="Q3" s="418">
        <f ca="1">Data!Y123</f>
        <v>0</v>
      </c>
      <c r="R3" s="418">
        <f ca="1">Data!Z123</f>
        <v>0</v>
      </c>
      <c r="S3" s="418">
        <f ca="1">Data!AA123</f>
        <v>0</v>
      </c>
    </row>
    <row r="7" spans="2:28" s="285" customFormat="1" ht="45" x14ac:dyDescent="0.25">
      <c r="B7" s="423" t="s">
        <v>674</v>
      </c>
      <c r="C7" s="423" t="s">
        <v>675</v>
      </c>
      <c r="D7" s="423" t="s">
        <v>676</v>
      </c>
      <c r="E7" s="423" t="s">
        <v>677</v>
      </c>
      <c r="F7" s="423" t="s">
        <v>678</v>
      </c>
      <c r="G7" s="423" t="s">
        <v>679</v>
      </c>
      <c r="H7" s="423" t="s">
        <v>680</v>
      </c>
      <c r="I7" s="423" t="s">
        <v>402</v>
      </c>
      <c r="J7" s="423" t="s">
        <v>681</v>
      </c>
      <c r="K7" s="423" t="s">
        <v>682</v>
      </c>
      <c r="L7" s="423" t="s">
        <v>683</v>
      </c>
      <c r="M7" s="423" t="s">
        <v>684</v>
      </c>
      <c r="N7" s="423" t="s">
        <v>685</v>
      </c>
      <c r="O7" s="421"/>
      <c r="P7" s="421"/>
      <c r="Q7" s="421"/>
      <c r="R7" s="422"/>
      <c r="S7" s="421"/>
      <c r="T7" s="421"/>
      <c r="U7" s="421"/>
      <c r="V7" s="421"/>
      <c r="W7" s="421"/>
      <c r="X7" s="421"/>
      <c r="Y7" s="421"/>
      <c r="Z7" s="422"/>
      <c r="AA7" s="420"/>
      <c r="AB7" s="422"/>
    </row>
    <row r="8" spans="2:28" ht="15" x14ac:dyDescent="0.25">
      <c r="B8" s="420" t="s">
        <v>686</v>
      </c>
      <c r="C8" s="420">
        <f>'Chart Review Info'!D4</f>
        <v>0</v>
      </c>
      <c r="D8" s="420">
        <f>F14</f>
        <v>0</v>
      </c>
      <c r="E8" s="421"/>
      <c r="F8" s="422"/>
      <c r="G8" s="422"/>
      <c r="H8" s="424">
        <f>'Chart Review Info'!G3</f>
        <v>0</v>
      </c>
      <c r="I8" s="424">
        <f>'Chart Review Info'!G3</f>
        <v>0</v>
      </c>
      <c r="J8" s="425">
        <f>'Chart Review Info'!D10</f>
        <v>0</v>
      </c>
      <c r="K8" s="420">
        <f>COUNTIF(RECORDS[Med Rec '# ],"&gt;0")</f>
        <v>0</v>
      </c>
      <c r="L8" s="420">
        <f>'Review Results'!F7</f>
        <v>0</v>
      </c>
      <c r="M8" s="426">
        <f>'Review Results'!F5</f>
        <v>0</v>
      </c>
      <c r="N8" s="425">
        <f>'Chart Review Info'!D9</f>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2EC80-0A04-4225-BEBC-9C29B5DE2D40}">
  <sheetPr>
    <pageSetUpPr fitToPage="1"/>
  </sheetPr>
  <dimension ref="A2:S102"/>
  <sheetViews>
    <sheetView view="pageBreakPreview" zoomScaleNormal="100" zoomScaleSheetLayoutView="100" workbookViewId="0">
      <selection activeCell="K14" sqref="K14"/>
    </sheetView>
  </sheetViews>
  <sheetFormatPr defaultRowHeight="12.75" x14ac:dyDescent="0.2"/>
  <cols>
    <col min="1" max="1" width="16.42578125" style="180" customWidth="1"/>
    <col min="2" max="2" width="9.7109375" style="180" customWidth="1"/>
    <col min="3" max="3" width="8.5703125" style="180" customWidth="1"/>
    <col min="4" max="4" width="11.28515625" style="180" customWidth="1"/>
    <col min="5" max="5" width="9.140625" style="180"/>
    <col min="6" max="6" width="10.7109375" style="180" customWidth="1"/>
    <col min="7" max="7" width="9.140625" style="180"/>
    <col min="8" max="8" width="12.85546875" style="180" customWidth="1"/>
    <col min="9" max="9" width="11.5703125" style="180" customWidth="1"/>
    <col min="10" max="11" width="13.7109375" style="180" customWidth="1"/>
    <col min="12" max="13" width="9.140625" style="180"/>
    <col min="14" max="14" width="7.85546875" style="180" customWidth="1"/>
    <col min="15" max="15" width="6.42578125" style="180" customWidth="1"/>
    <col min="16" max="16" width="9.140625" style="180"/>
    <col min="17" max="18" width="9.140625" style="180" customWidth="1"/>
    <col min="19" max="16384" width="9.140625" style="180"/>
  </cols>
  <sheetData>
    <row r="2" spans="1:19" s="289" customFormat="1" ht="23.1" customHeight="1" x14ac:dyDescent="0.2">
      <c r="A2" s="539" t="s">
        <v>563</v>
      </c>
      <c r="B2" s="541"/>
      <c r="C2" s="541"/>
      <c r="D2" s="541"/>
      <c r="E2" s="539" t="s">
        <v>564</v>
      </c>
      <c r="F2" s="542"/>
      <c r="G2" s="532"/>
      <c r="H2" s="543"/>
      <c r="I2" s="544"/>
      <c r="J2" s="545"/>
      <c r="K2" s="537" t="s">
        <v>565</v>
      </c>
      <c r="L2" s="538"/>
      <c r="M2" s="538"/>
      <c r="N2" s="538"/>
      <c r="O2" s="285"/>
    </row>
    <row r="3" spans="1:19" s="289" customFormat="1" ht="30" customHeight="1" x14ac:dyDescent="0.2">
      <c r="A3" s="531">
        <f>'Chart Review Info'!D4</f>
        <v>0</v>
      </c>
      <c r="B3" s="544"/>
      <c r="C3" s="544"/>
      <c r="D3" s="544"/>
      <c r="E3" s="535">
        <f>'Chart Review Info'!D3</f>
        <v>0</v>
      </c>
      <c r="F3" s="535"/>
      <c r="G3" s="535"/>
      <c r="H3" s="535"/>
      <c r="I3" s="546"/>
      <c r="J3" s="546"/>
      <c r="K3" s="547">
        <f>'Chart Review Info'!D7</f>
        <v>0</v>
      </c>
      <c r="L3" s="538"/>
      <c r="M3" s="538"/>
      <c r="N3" s="538"/>
      <c r="O3" s="285"/>
    </row>
    <row r="4" spans="1:19" s="289" customFormat="1" ht="33.6" customHeight="1" x14ac:dyDescent="0.2">
      <c r="A4" s="366" t="s">
        <v>566</v>
      </c>
      <c r="B4" s="531">
        <f>'Chart Review Info'!G7</f>
        <v>0</v>
      </c>
      <c r="C4" s="532"/>
      <c r="D4" s="532"/>
      <c r="E4" s="533" t="s">
        <v>567</v>
      </c>
      <c r="F4" s="534"/>
      <c r="G4" s="535">
        <f>'Chart Review Info'!D5</f>
        <v>0</v>
      </c>
      <c r="H4" s="535"/>
      <c r="I4" s="536"/>
      <c r="J4" s="536"/>
      <c r="K4" s="537" t="s">
        <v>568</v>
      </c>
      <c r="L4" s="538"/>
      <c r="M4" s="538"/>
      <c r="N4" s="538"/>
      <c r="O4" s="285"/>
    </row>
    <row r="5" spans="1:19" s="289" customFormat="1" ht="33.6" customHeight="1" x14ac:dyDescent="0.2">
      <c r="A5" s="366" t="s">
        <v>569</v>
      </c>
      <c r="B5" s="531">
        <f>'Chart Review Info'!G8</f>
        <v>0</v>
      </c>
      <c r="C5" s="532"/>
      <c r="D5" s="532"/>
      <c r="E5" s="539" t="s">
        <v>570</v>
      </c>
      <c r="F5" s="540"/>
      <c r="G5" s="535">
        <f>'Chart Review Info'!G9</f>
        <v>0</v>
      </c>
      <c r="H5" s="535"/>
      <c r="I5" s="536"/>
      <c r="J5" s="536"/>
      <c r="K5" s="535">
        <f>'Chart Review Info'!F14</f>
        <v>0</v>
      </c>
      <c r="L5" s="538"/>
      <c r="M5" s="538"/>
      <c r="N5" s="538"/>
      <c r="O5" s="285"/>
    </row>
    <row r="6" spans="1:19" ht="30.75" customHeight="1" x14ac:dyDescent="0.2">
      <c r="A6" s="539" t="s">
        <v>571</v>
      </c>
      <c r="B6" s="553"/>
      <c r="C6" s="224">
        <f>COUNTIF(G14:G101,"yes")</f>
        <v>0</v>
      </c>
      <c r="D6" s="554" t="s">
        <v>572</v>
      </c>
      <c r="E6" s="554"/>
      <c r="F6" s="555"/>
      <c r="G6" s="367">
        <f>SUM(I14:I100)</f>
        <v>0</v>
      </c>
      <c r="H6" s="226" t="s">
        <v>573</v>
      </c>
      <c r="I6" s="224">
        <f>SUM(F14:F101)</f>
        <v>0</v>
      </c>
      <c r="J6" s="549" t="s">
        <v>574</v>
      </c>
      <c r="K6" s="556"/>
      <c r="L6" s="557"/>
      <c r="M6" s="558" t="e">
        <f>G6/I6</f>
        <v>#DIV/0!</v>
      </c>
      <c r="N6" s="552"/>
      <c r="O6" s="369"/>
    </row>
    <row r="7" spans="1:19" ht="27" customHeight="1" x14ac:dyDescent="0.2">
      <c r="A7" s="549" t="s">
        <v>575</v>
      </c>
      <c r="B7" s="552"/>
      <c r="C7" s="224">
        <f>COUNTA(A14:A101)</f>
        <v>0</v>
      </c>
      <c r="D7" s="549" t="s">
        <v>576</v>
      </c>
      <c r="E7" s="559"/>
      <c r="F7" s="552"/>
      <c r="G7" s="224">
        <f>COUNTIF(H14:H101,"yes")</f>
        <v>0</v>
      </c>
      <c r="H7" s="224"/>
      <c r="I7" s="368"/>
      <c r="J7" s="549" t="s">
        <v>577</v>
      </c>
      <c r="K7" s="552"/>
      <c r="L7" s="552"/>
      <c r="M7" s="558" t="e">
        <f>G7/C7</f>
        <v>#DIV/0!</v>
      </c>
      <c r="N7" s="552"/>
      <c r="O7" s="369"/>
    </row>
    <row r="8" spans="1:19" ht="33" customHeight="1" x14ac:dyDescent="0.2">
      <c r="A8" s="537" t="s">
        <v>578</v>
      </c>
      <c r="B8" s="548"/>
      <c r="C8" s="370">
        <f>COUNTIF(O14:O101,"yes")</f>
        <v>0</v>
      </c>
      <c r="D8" s="549" t="s">
        <v>579</v>
      </c>
      <c r="E8" s="549"/>
      <c r="F8" s="549"/>
      <c r="G8" s="371" t="e">
        <f>C8/C7</f>
        <v>#DIV/0!</v>
      </c>
      <c r="H8" s="368"/>
      <c r="I8" s="368"/>
      <c r="J8" s="368"/>
      <c r="K8" s="368"/>
      <c r="L8" s="368"/>
      <c r="M8" s="372"/>
      <c r="N8" s="373"/>
    </row>
    <row r="9" spans="1:19" ht="33" hidden="1" customHeight="1" x14ac:dyDescent="0.2">
      <c r="A9" s="374"/>
      <c r="B9" s="365" t="s">
        <v>371</v>
      </c>
      <c r="C9" s="245">
        <f>COUNTIF(O14:O101,"yes")</f>
        <v>0</v>
      </c>
      <c r="D9" s="375"/>
      <c r="E9" s="375"/>
      <c r="F9" s="375"/>
      <c r="G9" s="376"/>
    </row>
    <row r="10" spans="1:19" ht="33" hidden="1" customHeight="1" x14ac:dyDescent="0.2">
      <c r="A10" s="374"/>
      <c r="B10" s="365" t="s">
        <v>377</v>
      </c>
      <c r="C10" s="245">
        <f>COUNTIF(O14:O101,"no")</f>
        <v>0</v>
      </c>
      <c r="D10" s="375"/>
      <c r="E10" s="375"/>
      <c r="F10" s="375"/>
      <c r="G10" s="376"/>
    </row>
    <row r="13" spans="1:19" s="245" customFormat="1" ht="122.25" x14ac:dyDescent="0.2">
      <c r="A13" s="377" t="s">
        <v>580</v>
      </c>
      <c r="B13" s="377" t="s">
        <v>581</v>
      </c>
      <c r="C13" s="377" t="s">
        <v>582</v>
      </c>
      <c r="D13" s="378" t="s">
        <v>583</v>
      </c>
      <c r="E13" s="377" t="s">
        <v>584</v>
      </c>
      <c r="F13" s="377" t="s">
        <v>585</v>
      </c>
      <c r="G13" s="377" t="s">
        <v>586</v>
      </c>
      <c r="H13" s="377" t="s">
        <v>587</v>
      </c>
      <c r="I13" s="379" t="s">
        <v>588</v>
      </c>
      <c r="J13" s="379" t="s">
        <v>654</v>
      </c>
      <c r="K13" s="377" t="s">
        <v>655</v>
      </c>
      <c r="L13" s="550" t="s">
        <v>92</v>
      </c>
      <c r="M13" s="551"/>
      <c r="N13" s="551"/>
      <c r="O13" s="380" t="s">
        <v>589</v>
      </c>
      <c r="P13" s="381"/>
    </row>
    <row r="14" spans="1:19" ht="24.75" customHeight="1" x14ac:dyDescent="0.2">
      <c r="A14" s="368"/>
      <c r="B14" s="368"/>
      <c r="C14" s="368"/>
      <c r="D14" s="382"/>
      <c r="E14" s="383"/>
      <c r="F14" s="384"/>
      <c r="G14" s="368"/>
      <c r="H14" s="368"/>
      <c r="I14" s="384"/>
      <c r="J14" s="384"/>
      <c r="K14" s="368"/>
      <c r="L14" s="538"/>
      <c r="M14" s="538"/>
      <c r="N14" s="538"/>
      <c r="O14" s="368"/>
      <c r="P14" s="285"/>
      <c r="R14" s="245"/>
      <c r="S14" s="245"/>
    </row>
    <row r="15" spans="1:19" ht="24.75" customHeight="1" x14ac:dyDescent="0.2">
      <c r="A15" s="368"/>
      <c r="B15" s="368"/>
      <c r="C15" s="368"/>
      <c r="D15" s="382"/>
      <c r="E15" s="383"/>
      <c r="F15" s="384"/>
      <c r="G15" s="368"/>
      <c r="H15" s="368"/>
      <c r="I15" s="384"/>
      <c r="J15" s="384"/>
      <c r="K15" s="368"/>
      <c r="L15" s="538"/>
      <c r="M15" s="552"/>
      <c r="N15" s="552"/>
      <c r="O15" s="368"/>
      <c r="R15" s="245"/>
      <c r="S15" s="245"/>
    </row>
    <row r="16" spans="1:19" ht="24.75" customHeight="1" x14ac:dyDescent="0.2">
      <c r="A16" s="368"/>
      <c r="B16" s="368"/>
      <c r="C16" s="368"/>
      <c r="D16" s="382"/>
      <c r="E16" s="383"/>
      <c r="F16" s="384"/>
      <c r="G16" s="368"/>
      <c r="H16" s="368"/>
      <c r="I16" s="384"/>
      <c r="J16" s="384"/>
      <c r="K16" s="368"/>
      <c r="L16" s="538"/>
      <c r="M16" s="552"/>
      <c r="N16" s="552"/>
      <c r="O16" s="368"/>
    </row>
    <row r="17" spans="1:15" ht="54" customHeight="1" x14ac:dyDescent="0.2">
      <c r="A17" s="368"/>
      <c r="B17" s="368"/>
      <c r="C17" s="368"/>
      <c r="D17" s="382"/>
      <c r="E17" s="383"/>
      <c r="F17" s="384"/>
      <c r="G17" s="368"/>
      <c r="H17" s="368"/>
      <c r="I17" s="384"/>
      <c r="J17" s="384"/>
      <c r="K17" s="368"/>
      <c r="L17" s="538"/>
      <c r="M17" s="552"/>
      <c r="N17" s="552"/>
      <c r="O17" s="368"/>
    </row>
    <row r="18" spans="1:15" ht="63.75" customHeight="1" x14ac:dyDescent="0.2">
      <c r="A18" s="368"/>
      <c r="B18" s="368"/>
      <c r="C18" s="368"/>
      <c r="D18" s="382"/>
      <c r="E18" s="383"/>
      <c r="F18" s="384"/>
      <c r="G18" s="368"/>
      <c r="H18" s="368"/>
      <c r="I18" s="384"/>
      <c r="J18" s="384"/>
      <c r="K18" s="368"/>
      <c r="L18" s="538"/>
      <c r="M18" s="552"/>
      <c r="N18" s="552"/>
      <c r="O18" s="368"/>
    </row>
    <row r="19" spans="1:15" ht="24.75" customHeight="1" x14ac:dyDescent="0.2">
      <c r="A19" s="368"/>
      <c r="B19" s="368"/>
      <c r="C19" s="368"/>
      <c r="D19" s="382"/>
      <c r="E19" s="383"/>
      <c r="F19" s="384"/>
      <c r="G19" s="368"/>
      <c r="H19" s="368"/>
      <c r="I19" s="384"/>
      <c r="J19" s="384"/>
      <c r="K19" s="368"/>
      <c r="L19" s="538"/>
      <c r="M19" s="552"/>
      <c r="N19" s="552"/>
      <c r="O19" s="368"/>
    </row>
    <row r="20" spans="1:15" ht="24.75" customHeight="1" x14ac:dyDescent="0.2">
      <c r="A20" s="368"/>
      <c r="B20" s="368"/>
      <c r="C20" s="368"/>
      <c r="D20" s="382"/>
      <c r="E20" s="383"/>
      <c r="F20" s="384"/>
      <c r="G20" s="368"/>
      <c r="H20" s="368"/>
      <c r="I20" s="384"/>
      <c r="J20" s="384"/>
      <c r="K20" s="368"/>
      <c r="L20" s="538"/>
      <c r="M20" s="552"/>
      <c r="N20" s="552"/>
      <c r="O20" s="368"/>
    </row>
    <row r="21" spans="1:15" ht="37.5" customHeight="1" x14ac:dyDescent="0.2">
      <c r="A21" s="368"/>
      <c r="B21" s="368"/>
      <c r="C21" s="368"/>
      <c r="D21" s="382"/>
      <c r="E21" s="383"/>
      <c r="F21" s="384"/>
      <c r="G21" s="368"/>
      <c r="H21" s="368"/>
      <c r="I21" s="384"/>
      <c r="J21" s="384"/>
      <c r="K21" s="368"/>
      <c r="L21" s="538"/>
      <c r="M21" s="552"/>
      <c r="N21" s="552"/>
      <c r="O21" s="368"/>
    </row>
    <row r="22" spans="1:15" ht="54" customHeight="1" x14ac:dyDescent="0.2">
      <c r="A22" s="368"/>
      <c r="B22" s="368"/>
      <c r="C22" s="368"/>
      <c r="D22" s="382"/>
      <c r="E22" s="383"/>
      <c r="F22" s="384"/>
      <c r="G22" s="368"/>
      <c r="H22" s="368"/>
      <c r="I22" s="384"/>
      <c r="J22" s="384"/>
      <c r="K22" s="368"/>
      <c r="L22" s="538"/>
      <c r="M22" s="552"/>
      <c r="N22" s="552"/>
      <c r="O22" s="368"/>
    </row>
    <row r="23" spans="1:15" ht="24.75" customHeight="1" x14ac:dyDescent="0.2">
      <c r="A23" s="368"/>
      <c r="B23" s="368"/>
      <c r="C23" s="368"/>
      <c r="D23" s="368"/>
      <c r="E23" s="368"/>
      <c r="F23" s="384"/>
      <c r="G23" s="368"/>
      <c r="H23" s="368"/>
      <c r="I23" s="384" t="str">
        <f t="shared" ref="I23:I86" si="0">IF(H23="Yes",F23," ")</f>
        <v xml:space="preserve"> </v>
      </c>
      <c r="J23" s="384"/>
      <c r="K23" s="368"/>
      <c r="L23" s="538"/>
      <c r="M23" s="552"/>
      <c r="N23" s="552"/>
      <c r="O23" s="368"/>
    </row>
    <row r="24" spans="1:15" ht="24.75" customHeight="1" x14ac:dyDescent="0.2">
      <c r="A24" s="368"/>
      <c r="B24" s="368"/>
      <c r="C24" s="368"/>
      <c r="D24" s="368"/>
      <c r="E24" s="368"/>
      <c r="F24" s="384"/>
      <c r="G24" s="368"/>
      <c r="H24" s="368"/>
      <c r="I24" s="384" t="str">
        <f t="shared" si="0"/>
        <v xml:space="preserve"> </v>
      </c>
      <c r="J24" s="384"/>
      <c r="K24" s="368"/>
      <c r="L24" s="538"/>
      <c r="M24" s="552"/>
      <c r="N24" s="552"/>
      <c r="O24" s="368"/>
    </row>
    <row r="25" spans="1:15" ht="24.75" customHeight="1" x14ac:dyDescent="0.2">
      <c r="A25" s="368"/>
      <c r="B25" s="368"/>
      <c r="C25" s="368"/>
      <c r="D25" s="368"/>
      <c r="E25" s="368"/>
      <c r="F25" s="384"/>
      <c r="G25" s="368"/>
      <c r="H25" s="368"/>
      <c r="I25" s="384" t="str">
        <f t="shared" si="0"/>
        <v xml:space="preserve"> </v>
      </c>
      <c r="J25" s="384"/>
      <c r="K25" s="368"/>
      <c r="L25" s="538"/>
      <c r="M25" s="552"/>
      <c r="N25" s="552"/>
      <c r="O25" s="368"/>
    </row>
    <row r="26" spans="1:15" ht="24.75" customHeight="1" x14ac:dyDescent="0.2">
      <c r="A26" s="368"/>
      <c r="B26" s="368"/>
      <c r="C26" s="368"/>
      <c r="D26" s="368"/>
      <c r="E26" s="368"/>
      <c r="F26" s="384"/>
      <c r="G26" s="368"/>
      <c r="H26" s="368"/>
      <c r="I26" s="384" t="str">
        <f t="shared" si="0"/>
        <v xml:space="preserve"> </v>
      </c>
      <c r="J26" s="384"/>
      <c r="K26" s="368"/>
      <c r="L26" s="538"/>
      <c r="M26" s="552"/>
      <c r="N26" s="552"/>
      <c r="O26" s="368"/>
    </row>
    <row r="27" spans="1:15" ht="24.75" customHeight="1" x14ac:dyDescent="0.2">
      <c r="A27" s="368"/>
      <c r="B27" s="368"/>
      <c r="C27" s="368"/>
      <c r="D27" s="368"/>
      <c r="E27" s="368"/>
      <c r="F27" s="384"/>
      <c r="G27" s="368"/>
      <c r="H27" s="368"/>
      <c r="I27" s="384" t="str">
        <f t="shared" si="0"/>
        <v xml:space="preserve"> </v>
      </c>
      <c r="J27" s="384"/>
      <c r="K27" s="368"/>
      <c r="L27" s="538"/>
      <c r="M27" s="552"/>
      <c r="N27" s="552"/>
      <c r="O27" s="368"/>
    </row>
    <row r="28" spans="1:15" ht="24.75" customHeight="1" x14ac:dyDescent="0.2">
      <c r="A28" s="368"/>
      <c r="B28" s="368"/>
      <c r="C28" s="368"/>
      <c r="D28" s="368"/>
      <c r="E28" s="368"/>
      <c r="F28" s="384"/>
      <c r="G28" s="368"/>
      <c r="H28" s="368"/>
      <c r="I28" s="384" t="str">
        <f t="shared" si="0"/>
        <v xml:space="preserve"> </v>
      </c>
      <c r="J28" s="384"/>
      <c r="K28" s="368"/>
      <c r="L28" s="538"/>
      <c r="M28" s="552"/>
      <c r="N28" s="552"/>
      <c r="O28" s="368"/>
    </row>
    <row r="29" spans="1:15" ht="24.75" customHeight="1" x14ac:dyDescent="0.2">
      <c r="A29" s="368"/>
      <c r="B29" s="368"/>
      <c r="C29" s="368"/>
      <c r="D29" s="368"/>
      <c r="E29" s="368"/>
      <c r="F29" s="384"/>
      <c r="G29" s="368"/>
      <c r="H29" s="368"/>
      <c r="I29" s="384" t="str">
        <f t="shared" si="0"/>
        <v xml:space="preserve"> </v>
      </c>
      <c r="J29" s="384"/>
      <c r="K29" s="368"/>
      <c r="L29" s="538"/>
      <c r="M29" s="552"/>
      <c r="N29" s="552"/>
      <c r="O29" s="368"/>
    </row>
    <row r="30" spans="1:15" ht="24.75" customHeight="1" x14ac:dyDescent="0.2">
      <c r="A30" s="368"/>
      <c r="B30" s="368"/>
      <c r="C30" s="368"/>
      <c r="D30" s="368"/>
      <c r="E30" s="368"/>
      <c r="F30" s="384"/>
      <c r="G30" s="368"/>
      <c r="H30" s="368"/>
      <c r="I30" s="384" t="str">
        <f t="shared" si="0"/>
        <v xml:space="preserve"> </v>
      </c>
      <c r="J30" s="384"/>
      <c r="K30" s="368"/>
      <c r="L30" s="538"/>
      <c r="M30" s="552"/>
      <c r="N30" s="552"/>
      <c r="O30" s="368"/>
    </row>
    <row r="31" spans="1:15" ht="24.75" customHeight="1" x14ac:dyDescent="0.2">
      <c r="A31" s="368"/>
      <c r="B31" s="368"/>
      <c r="C31" s="368"/>
      <c r="D31" s="368"/>
      <c r="E31" s="368"/>
      <c r="F31" s="384"/>
      <c r="G31" s="368"/>
      <c r="H31" s="368"/>
      <c r="I31" s="384" t="str">
        <f t="shared" si="0"/>
        <v xml:space="preserve"> </v>
      </c>
      <c r="J31" s="384"/>
      <c r="K31" s="368"/>
      <c r="L31" s="538"/>
      <c r="M31" s="552"/>
      <c r="N31" s="552"/>
      <c r="O31" s="368"/>
    </row>
    <row r="32" spans="1:15" ht="24.75" customHeight="1" x14ac:dyDescent="0.2">
      <c r="A32" s="368"/>
      <c r="B32" s="368"/>
      <c r="C32" s="368"/>
      <c r="D32" s="368"/>
      <c r="E32" s="368"/>
      <c r="F32" s="384"/>
      <c r="G32" s="368"/>
      <c r="H32" s="368"/>
      <c r="I32" s="384" t="str">
        <f t="shared" si="0"/>
        <v xml:space="preserve"> </v>
      </c>
      <c r="J32" s="384"/>
      <c r="K32" s="368"/>
      <c r="L32" s="538"/>
      <c r="M32" s="552"/>
      <c r="N32" s="552"/>
      <c r="O32" s="368"/>
    </row>
    <row r="33" spans="1:15" ht="24.75" customHeight="1" x14ac:dyDescent="0.2">
      <c r="A33" s="368"/>
      <c r="B33" s="368"/>
      <c r="C33" s="368"/>
      <c r="D33" s="368"/>
      <c r="E33" s="368"/>
      <c r="F33" s="384"/>
      <c r="G33" s="368"/>
      <c r="H33" s="368"/>
      <c r="I33" s="384" t="str">
        <f t="shared" si="0"/>
        <v xml:space="preserve"> </v>
      </c>
      <c r="J33" s="384"/>
      <c r="K33" s="368"/>
      <c r="L33" s="538"/>
      <c r="M33" s="552"/>
      <c r="N33" s="552"/>
      <c r="O33" s="368"/>
    </row>
    <row r="34" spans="1:15" ht="24.75" customHeight="1" x14ac:dyDescent="0.2">
      <c r="A34" s="368"/>
      <c r="B34" s="368"/>
      <c r="C34" s="368"/>
      <c r="D34" s="368"/>
      <c r="E34" s="368"/>
      <c r="F34" s="384"/>
      <c r="G34" s="368"/>
      <c r="H34" s="368"/>
      <c r="I34" s="384" t="str">
        <f t="shared" si="0"/>
        <v xml:space="preserve"> </v>
      </c>
      <c r="J34" s="384"/>
      <c r="K34" s="368"/>
      <c r="L34" s="538"/>
      <c r="M34" s="552"/>
      <c r="N34" s="552"/>
      <c r="O34" s="368"/>
    </row>
    <row r="35" spans="1:15" ht="24.75" customHeight="1" x14ac:dyDescent="0.2">
      <c r="A35" s="368"/>
      <c r="B35" s="368"/>
      <c r="C35" s="368"/>
      <c r="D35" s="368"/>
      <c r="E35" s="368"/>
      <c r="F35" s="384"/>
      <c r="G35" s="368"/>
      <c r="H35" s="368"/>
      <c r="I35" s="384" t="str">
        <f t="shared" si="0"/>
        <v xml:space="preserve"> </v>
      </c>
      <c r="J35" s="384"/>
      <c r="K35" s="368"/>
      <c r="L35" s="538"/>
      <c r="M35" s="552"/>
      <c r="N35" s="552"/>
      <c r="O35" s="368"/>
    </row>
    <row r="36" spans="1:15" ht="24.75" customHeight="1" x14ac:dyDescent="0.2">
      <c r="A36" s="368"/>
      <c r="B36" s="368"/>
      <c r="C36" s="368"/>
      <c r="D36" s="368"/>
      <c r="E36" s="368"/>
      <c r="F36" s="384"/>
      <c r="G36" s="368"/>
      <c r="H36" s="368"/>
      <c r="I36" s="384" t="str">
        <f t="shared" si="0"/>
        <v xml:space="preserve"> </v>
      </c>
      <c r="J36" s="384"/>
      <c r="K36" s="368"/>
      <c r="L36" s="538"/>
      <c r="M36" s="552"/>
      <c r="N36" s="552"/>
      <c r="O36" s="368"/>
    </row>
    <row r="37" spans="1:15" ht="24.75" customHeight="1" x14ac:dyDescent="0.2">
      <c r="A37" s="368"/>
      <c r="B37" s="368"/>
      <c r="C37" s="368"/>
      <c r="D37" s="368"/>
      <c r="E37" s="368"/>
      <c r="F37" s="384"/>
      <c r="G37" s="368"/>
      <c r="H37" s="368"/>
      <c r="I37" s="384" t="str">
        <f t="shared" si="0"/>
        <v xml:space="preserve"> </v>
      </c>
      <c r="J37" s="384"/>
      <c r="K37" s="368"/>
      <c r="L37" s="538"/>
      <c r="M37" s="552"/>
      <c r="N37" s="552"/>
      <c r="O37" s="368"/>
    </row>
    <row r="38" spans="1:15" ht="24.75" customHeight="1" x14ac:dyDescent="0.2">
      <c r="A38" s="368"/>
      <c r="B38" s="368"/>
      <c r="C38" s="368"/>
      <c r="D38" s="368"/>
      <c r="E38" s="368"/>
      <c r="F38" s="384"/>
      <c r="G38" s="368"/>
      <c r="H38" s="368"/>
      <c r="I38" s="384" t="str">
        <f t="shared" si="0"/>
        <v xml:space="preserve"> </v>
      </c>
      <c r="J38" s="384"/>
      <c r="K38" s="368"/>
      <c r="L38" s="538"/>
      <c r="M38" s="552"/>
      <c r="N38" s="552"/>
      <c r="O38" s="368"/>
    </row>
    <row r="39" spans="1:15" ht="24.75" customHeight="1" x14ac:dyDescent="0.2">
      <c r="A39" s="368"/>
      <c r="B39" s="368"/>
      <c r="C39" s="368"/>
      <c r="D39" s="368"/>
      <c r="E39" s="368"/>
      <c r="F39" s="384"/>
      <c r="G39" s="368"/>
      <c r="H39" s="368"/>
      <c r="I39" s="384" t="str">
        <f t="shared" si="0"/>
        <v xml:space="preserve"> </v>
      </c>
      <c r="J39" s="384"/>
      <c r="K39" s="368"/>
      <c r="L39" s="538"/>
      <c r="M39" s="552"/>
      <c r="N39" s="552"/>
      <c r="O39" s="368"/>
    </row>
    <row r="40" spans="1:15" ht="24.75" customHeight="1" x14ac:dyDescent="0.2">
      <c r="A40" s="368"/>
      <c r="B40" s="368"/>
      <c r="C40" s="368"/>
      <c r="D40" s="368"/>
      <c r="E40" s="368"/>
      <c r="F40" s="384"/>
      <c r="G40" s="368"/>
      <c r="H40" s="368"/>
      <c r="I40" s="384" t="str">
        <f t="shared" si="0"/>
        <v xml:space="preserve"> </v>
      </c>
      <c r="J40" s="384"/>
      <c r="K40" s="368"/>
      <c r="L40" s="538"/>
      <c r="M40" s="552"/>
      <c r="N40" s="552"/>
      <c r="O40" s="368"/>
    </row>
    <row r="41" spans="1:15" ht="24.75" customHeight="1" x14ac:dyDescent="0.2">
      <c r="A41" s="368"/>
      <c r="B41" s="368"/>
      <c r="C41" s="368"/>
      <c r="D41" s="368"/>
      <c r="E41" s="368"/>
      <c r="F41" s="384"/>
      <c r="G41" s="368"/>
      <c r="H41" s="368"/>
      <c r="I41" s="384" t="str">
        <f t="shared" si="0"/>
        <v xml:space="preserve"> </v>
      </c>
      <c r="J41" s="384"/>
      <c r="K41" s="368"/>
      <c r="L41" s="538"/>
      <c r="M41" s="552"/>
      <c r="N41" s="552"/>
      <c r="O41" s="368"/>
    </row>
    <row r="42" spans="1:15" ht="24.75" customHeight="1" x14ac:dyDescent="0.2">
      <c r="A42" s="368"/>
      <c r="B42" s="368"/>
      <c r="C42" s="368"/>
      <c r="D42" s="368"/>
      <c r="E42" s="368"/>
      <c r="F42" s="384"/>
      <c r="G42" s="368"/>
      <c r="H42" s="368"/>
      <c r="I42" s="384" t="str">
        <f t="shared" si="0"/>
        <v xml:space="preserve"> </v>
      </c>
      <c r="J42" s="384"/>
      <c r="K42" s="368"/>
      <c r="L42" s="538"/>
      <c r="M42" s="552"/>
      <c r="N42" s="552"/>
      <c r="O42" s="368"/>
    </row>
    <row r="43" spans="1:15" ht="24.75" customHeight="1" x14ac:dyDescent="0.2">
      <c r="A43" s="368"/>
      <c r="B43" s="368"/>
      <c r="C43" s="368"/>
      <c r="D43" s="368"/>
      <c r="E43" s="368"/>
      <c r="F43" s="384"/>
      <c r="G43" s="368"/>
      <c r="H43" s="368"/>
      <c r="I43" s="384" t="str">
        <f t="shared" si="0"/>
        <v xml:space="preserve"> </v>
      </c>
      <c r="J43" s="384"/>
      <c r="K43" s="368"/>
      <c r="L43" s="538"/>
      <c r="M43" s="552"/>
      <c r="N43" s="552"/>
      <c r="O43" s="368"/>
    </row>
    <row r="44" spans="1:15" ht="24.75" customHeight="1" x14ac:dyDescent="0.2">
      <c r="A44" s="368"/>
      <c r="B44" s="368"/>
      <c r="C44" s="368"/>
      <c r="D44" s="368"/>
      <c r="E44" s="368"/>
      <c r="F44" s="384"/>
      <c r="G44" s="368"/>
      <c r="H44" s="368"/>
      <c r="I44" s="384" t="str">
        <f t="shared" si="0"/>
        <v xml:space="preserve"> </v>
      </c>
      <c r="J44" s="384"/>
      <c r="K44" s="368"/>
      <c r="L44" s="538"/>
      <c r="M44" s="552"/>
      <c r="N44" s="552"/>
      <c r="O44" s="368"/>
    </row>
    <row r="45" spans="1:15" ht="24.75" customHeight="1" x14ac:dyDescent="0.2">
      <c r="A45" s="368"/>
      <c r="B45" s="368"/>
      <c r="C45" s="368"/>
      <c r="D45" s="368"/>
      <c r="E45" s="368"/>
      <c r="F45" s="384"/>
      <c r="G45" s="368"/>
      <c r="H45" s="368"/>
      <c r="I45" s="384" t="str">
        <f t="shared" si="0"/>
        <v xml:space="preserve"> </v>
      </c>
      <c r="J45" s="384"/>
      <c r="K45" s="368"/>
      <c r="L45" s="538"/>
      <c r="M45" s="552"/>
      <c r="N45" s="552"/>
      <c r="O45" s="368"/>
    </row>
    <row r="46" spans="1:15" ht="24.75" customHeight="1" x14ac:dyDescent="0.2">
      <c r="A46" s="368"/>
      <c r="B46" s="368"/>
      <c r="C46" s="368"/>
      <c r="D46" s="368"/>
      <c r="E46" s="368"/>
      <c r="F46" s="384"/>
      <c r="G46" s="368"/>
      <c r="H46" s="368"/>
      <c r="I46" s="384" t="str">
        <f t="shared" si="0"/>
        <v xml:space="preserve"> </v>
      </c>
      <c r="J46" s="384"/>
      <c r="K46" s="368"/>
      <c r="L46" s="538"/>
      <c r="M46" s="552"/>
      <c r="N46" s="552"/>
      <c r="O46" s="368"/>
    </row>
    <row r="47" spans="1:15" ht="24.75" customHeight="1" x14ac:dyDescent="0.2">
      <c r="A47" s="368"/>
      <c r="B47" s="368"/>
      <c r="C47" s="368"/>
      <c r="D47" s="368"/>
      <c r="E47" s="368"/>
      <c r="F47" s="384"/>
      <c r="G47" s="368"/>
      <c r="H47" s="368"/>
      <c r="I47" s="384" t="str">
        <f t="shared" si="0"/>
        <v xml:space="preserve"> </v>
      </c>
      <c r="J47" s="384"/>
      <c r="K47" s="368"/>
      <c r="L47" s="538"/>
      <c r="M47" s="552"/>
      <c r="N47" s="552"/>
      <c r="O47" s="368"/>
    </row>
    <row r="48" spans="1:15" ht="24.75" customHeight="1" x14ac:dyDescent="0.2">
      <c r="A48" s="368"/>
      <c r="B48" s="368"/>
      <c r="C48" s="368"/>
      <c r="D48" s="368"/>
      <c r="E48" s="368"/>
      <c r="F48" s="384"/>
      <c r="G48" s="368"/>
      <c r="H48" s="368"/>
      <c r="I48" s="384" t="str">
        <f t="shared" si="0"/>
        <v xml:space="preserve"> </v>
      </c>
      <c r="J48" s="384"/>
      <c r="K48" s="368"/>
      <c r="L48" s="538"/>
      <c r="M48" s="552"/>
      <c r="N48" s="552"/>
      <c r="O48" s="368"/>
    </row>
    <row r="49" spans="1:15" ht="24.75" customHeight="1" x14ac:dyDescent="0.2">
      <c r="A49" s="368"/>
      <c r="B49" s="368"/>
      <c r="C49" s="368"/>
      <c r="D49" s="368"/>
      <c r="E49" s="368"/>
      <c r="F49" s="384"/>
      <c r="G49" s="368"/>
      <c r="H49" s="368"/>
      <c r="I49" s="384" t="str">
        <f t="shared" si="0"/>
        <v xml:space="preserve"> </v>
      </c>
      <c r="J49" s="384"/>
      <c r="K49" s="368"/>
      <c r="L49" s="538"/>
      <c r="M49" s="552"/>
      <c r="N49" s="552"/>
      <c r="O49" s="368"/>
    </row>
    <row r="50" spans="1:15" ht="24.75" customHeight="1" x14ac:dyDescent="0.2">
      <c r="A50" s="368"/>
      <c r="B50" s="368"/>
      <c r="C50" s="368"/>
      <c r="D50" s="368"/>
      <c r="E50" s="368"/>
      <c r="F50" s="384"/>
      <c r="G50" s="368"/>
      <c r="H50" s="368"/>
      <c r="I50" s="384" t="str">
        <f t="shared" si="0"/>
        <v xml:space="preserve"> </v>
      </c>
      <c r="J50" s="384"/>
      <c r="K50" s="368"/>
      <c r="L50" s="538"/>
      <c r="M50" s="552"/>
      <c r="N50" s="552"/>
      <c r="O50" s="368"/>
    </row>
    <row r="51" spans="1:15" ht="24.75" customHeight="1" x14ac:dyDescent="0.2">
      <c r="A51" s="368"/>
      <c r="B51" s="368"/>
      <c r="C51" s="368"/>
      <c r="D51" s="368"/>
      <c r="E51" s="368"/>
      <c r="F51" s="384"/>
      <c r="G51" s="368"/>
      <c r="H51" s="368"/>
      <c r="I51" s="384" t="str">
        <f t="shared" si="0"/>
        <v xml:space="preserve"> </v>
      </c>
      <c r="J51" s="384"/>
      <c r="K51" s="368"/>
      <c r="L51" s="538"/>
      <c r="M51" s="552"/>
      <c r="N51" s="552"/>
      <c r="O51" s="368"/>
    </row>
    <row r="52" spans="1:15" ht="24.75" customHeight="1" x14ac:dyDescent="0.2">
      <c r="A52" s="368"/>
      <c r="B52" s="368"/>
      <c r="C52" s="368"/>
      <c r="D52" s="368"/>
      <c r="E52" s="368"/>
      <c r="F52" s="384"/>
      <c r="G52" s="368"/>
      <c r="H52" s="368"/>
      <c r="I52" s="384" t="str">
        <f t="shared" si="0"/>
        <v xml:space="preserve"> </v>
      </c>
      <c r="J52" s="384"/>
      <c r="K52" s="368"/>
      <c r="L52" s="538"/>
      <c r="M52" s="552"/>
      <c r="N52" s="552"/>
      <c r="O52" s="368"/>
    </row>
    <row r="53" spans="1:15" ht="24.75" customHeight="1" x14ac:dyDescent="0.2">
      <c r="A53" s="368"/>
      <c r="B53" s="368"/>
      <c r="C53" s="368"/>
      <c r="D53" s="368"/>
      <c r="E53" s="368"/>
      <c r="F53" s="384"/>
      <c r="G53" s="368"/>
      <c r="H53" s="368"/>
      <c r="I53" s="384" t="str">
        <f t="shared" si="0"/>
        <v xml:space="preserve"> </v>
      </c>
      <c r="J53" s="384"/>
      <c r="K53" s="368"/>
      <c r="L53" s="538"/>
      <c r="M53" s="552"/>
      <c r="N53" s="552"/>
      <c r="O53" s="368"/>
    </row>
    <row r="54" spans="1:15" ht="24.75" customHeight="1" x14ac:dyDescent="0.2">
      <c r="A54" s="368"/>
      <c r="B54" s="368"/>
      <c r="C54" s="368"/>
      <c r="D54" s="368"/>
      <c r="E54" s="368"/>
      <c r="F54" s="384"/>
      <c r="G54" s="368"/>
      <c r="H54" s="368"/>
      <c r="I54" s="384" t="str">
        <f t="shared" si="0"/>
        <v xml:space="preserve"> </v>
      </c>
      <c r="J54" s="384"/>
      <c r="K54" s="368"/>
      <c r="L54" s="538"/>
      <c r="M54" s="552"/>
      <c r="N54" s="552"/>
      <c r="O54" s="368"/>
    </row>
    <row r="55" spans="1:15" ht="24.75" customHeight="1" x14ac:dyDescent="0.2">
      <c r="A55" s="368"/>
      <c r="B55" s="368"/>
      <c r="C55" s="368"/>
      <c r="D55" s="368"/>
      <c r="E55" s="368"/>
      <c r="F55" s="384"/>
      <c r="G55" s="368"/>
      <c r="H55" s="368"/>
      <c r="I55" s="384" t="str">
        <f t="shared" si="0"/>
        <v xml:space="preserve"> </v>
      </c>
      <c r="J55" s="384"/>
      <c r="K55" s="368"/>
      <c r="L55" s="538"/>
      <c r="M55" s="552"/>
      <c r="N55" s="552"/>
      <c r="O55" s="368"/>
    </row>
    <row r="56" spans="1:15" ht="24.75" customHeight="1" x14ac:dyDescent="0.2">
      <c r="A56" s="368"/>
      <c r="B56" s="368"/>
      <c r="C56" s="368"/>
      <c r="D56" s="368"/>
      <c r="E56" s="368"/>
      <c r="F56" s="384"/>
      <c r="G56" s="368"/>
      <c r="H56" s="368"/>
      <c r="I56" s="384" t="str">
        <f t="shared" si="0"/>
        <v xml:space="preserve"> </v>
      </c>
      <c r="J56" s="384"/>
      <c r="K56" s="368"/>
      <c r="L56" s="538"/>
      <c r="M56" s="552"/>
      <c r="N56" s="552"/>
      <c r="O56" s="368"/>
    </row>
    <row r="57" spans="1:15" ht="24.75" customHeight="1" x14ac:dyDescent="0.2">
      <c r="A57" s="368"/>
      <c r="B57" s="368"/>
      <c r="C57" s="368"/>
      <c r="D57" s="368"/>
      <c r="E57" s="368"/>
      <c r="F57" s="384"/>
      <c r="G57" s="368"/>
      <c r="H57" s="368"/>
      <c r="I57" s="384" t="str">
        <f t="shared" si="0"/>
        <v xml:space="preserve"> </v>
      </c>
      <c r="J57" s="384"/>
      <c r="K57" s="368"/>
      <c r="L57" s="538"/>
      <c r="M57" s="552"/>
      <c r="N57" s="552"/>
      <c r="O57" s="368"/>
    </row>
    <row r="58" spans="1:15" ht="24.75" customHeight="1" x14ac:dyDescent="0.2">
      <c r="A58" s="368"/>
      <c r="B58" s="368"/>
      <c r="C58" s="368"/>
      <c r="D58" s="368"/>
      <c r="E58" s="368"/>
      <c r="F58" s="384"/>
      <c r="G58" s="368"/>
      <c r="H58" s="368"/>
      <c r="I58" s="384" t="str">
        <f t="shared" si="0"/>
        <v xml:space="preserve"> </v>
      </c>
      <c r="J58" s="384"/>
      <c r="K58" s="368"/>
      <c r="L58" s="538"/>
      <c r="M58" s="552"/>
      <c r="N58" s="552"/>
      <c r="O58" s="368"/>
    </row>
    <row r="59" spans="1:15" ht="24.75" customHeight="1" x14ac:dyDescent="0.2">
      <c r="A59" s="368"/>
      <c r="B59" s="368"/>
      <c r="C59" s="368"/>
      <c r="D59" s="368"/>
      <c r="E59" s="368"/>
      <c r="F59" s="384"/>
      <c r="G59" s="368"/>
      <c r="H59" s="368"/>
      <c r="I59" s="384" t="str">
        <f t="shared" si="0"/>
        <v xml:space="preserve"> </v>
      </c>
      <c r="J59" s="384"/>
      <c r="K59" s="368"/>
      <c r="L59" s="538"/>
      <c r="M59" s="552"/>
      <c r="N59" s="552"/>
      <c r="O59" s="368"/>
    </row>
    <row r="60" spans="1:15" ht="24.75" customHeight="1" x14ac:dyDescent="0.2">
      <c r="A60" s="368"/>
      <c r="B60" s="368"/>
      <c r="C60" s="368"/>
      <c r="D60" s="368"/>
      <c r="E60" s="368"/>
      <c r="F60" s="384"/>
      <c r="G60" s="368"/>
      <c r="H60" s="368"/>
      <c r="I60" s="384" t="str">
        <f t="shared" si="0"/>
        <v xml:space="preserve"> </v>
      </c>
      <c r="J60" s="384"/>
      <c r="K60" s="368"/>
      <c r="L60" s="538"/>
      <c r="M60" s="552"/>
      <c r="N60" s="552"/>
      <c r="O60" s="368"/>
    </row>
    <row r="61" spans="1:15" ht="24.75" customHeight="1" x14ac:dyDescent="0.2">
      <c r="A61" s="368"/>
      <c r="B61" s="368"/>
      <c r="C61" s="368"/>
      <c r="D61" s="368"/>
      <c r="E61" s="368"/>
      <c r="F61" s="384"/>
      <c r="G61" s="368"/>
      <c r="H61" s="368"/>
      <c r="I61" s="384" t="str">
        <f t="shared" si="0"/>
        <v xml:space="preserve"> </v>
      </c>
      <c r="J61" s="384"/>
      <c r="K61" s="368"/>
      <c r="L61" s="538"/>
      <c r="M61" s="552"/>
      <c r="N61" s="552"/>
      <c r="O61" s="368"/>
    </row>
    <row r="62" spans="1:15" ht="24.75" customHeight="1" x14ac:dyDescent="0.2">
      <c r="A62" s="368"/>
      <c r="B62" s="368"/>
      <c r="C62" s="368"/>
      <c r="D62" s="368"/>
      <c r="E62" s="368"/>
      <c r="F62" s="384"/>
      <c r="G62" s="368"/>
      <c r="H62" s="368"/>
      <c r="I62" s="384" t="str">
        <f t="shared" si="0"/>
        <v xml:space="preserve"> </v>
      </c>
      <c r="J62" s="384"/>
      <c r="K62" s="368"/>
      <c r="L62" s="538"/>
      <c r="M62" s="552"/>
      <c r="N62" s="552"/>
      <c r="O62" s="368"/>
    </row>
    <row r="63" spans="1:15" ht="24.75" customHeight="1" x14ac:dyDescent="0.2">
      <c r="A63" s="368"/>
      <c r="B63" s="368"/>
      <c r="C63" s="368"/>
      <c r="D63" s="368"/>
      <c r="E63" s="368"/>
      <c r="F63" s="384"/>
      <c r="G63" s="368"/>
      <c r="H63" s="368"/>
      <c r="I63" s="384" t="str">
        <f t="shared" si="0"/>
        <v xml:space="preserve"> </v>
      </c>
      <c r="J63" s="384"/>
      <c r="K63" s="368"/>
      <c r="L63" s="538"/>
      <c r="M63" s="552"/>
      <c r="N63" s="552"/>
      <c r="O63" s="368"/>
    </row>
    <row r="64" spans="1:15" ht="24.75" customHeight="1" x14ac:dyDescent="0.2">
      <c r="A64" s="368"/>
      <c r="B64" s="368"/>
      <c r="C64" s="368"/>
      <c r="D64" s="368"/>
      <c r="E64" s="368"/>
      <c r="F64" s="384"/>
      <c r="G64" s="368"/>
      <c r="H64" s="368"/>
      <c r="I64" s="384" t="str">
        <f t="shared" si="0"/>
        <v xml:space="preserve"> </v>
      </c>
      <c r="J64" s="384"/>
      <c r="K64" s="368"/>
      <c r="L64" s="538"/>
      <c r="M64" s="552"/>
      <c r="N64" s="552"/>
      <c r="O64" s="368"/>
    </row>
    <row r="65" spans="1:15" ht="24.75" customHeight="1" x14ac:dyDescent="0.2">
      <c r="A65" s="368"/>
      <c r="B65" s="368"/>
      <c r="C65" s="368"/>
      <c r="D65" s="368"/>
      <c r="E65" s="368"/>
      <c r="F65" s="384"/>
      <c r="G65" s="368"/>
      <c r="H65" s="368"/>
      <c r="I65" s="384" t="str">
        <f t="shared" si="0"/>
        <v xml:space="preserve"> </v>
      </c>
      <c r="J65" s="384"/>
      <c r="K65" s="368"/>
      <c r="L65" s="538"/>
      <c r="M65" s="552"/>
      <c r="N65" s="552"/>
      <c r="O65" s="368"/>
    </row>
    <row r="66" spans="1:15" ht="24.75" customHeight="1" x14ac:dyDescent="0.2">
      <c r="A66" s="368"/>
      <c r="B66" s="368"/>
      <c r="C66" s="368"/>
      <c r="D66" s="368"/>
      <c r="E66" s="368"/>
      <c r="F66" s="384"/>
      <c r="G66" s="368"/>
      <c r="H66" s="368"/>
      <c r="I66" s="384" t="str">
        <f t="shared" si="0"/>
        <v xml:space="preserve"> </v>
      </c>
      <c r="J66" s="384"/>
      <c r="K66" s="368"/>
      <c r="L66" s="538"/>
      <c r="M66" s="552"/>
      <c r="N66" s="552"/>
      <c r="O66" s="368"/>
    </row>
    <row r="67" spans="1:15" ht="24.75" customHeight="1" x14ac:dyDescent="0.2">
      <c r="A67" s="368"/>
      <c r="B67" s="368"/>
      <c r="C67" s="368"/>
      <c r="D67" s="368"/>
      <c r="E67" s="368"/>
      <c r="F67" s="384"/>
      <c r="G67" s="368"/>
      <c r="H67" s="368"/>
      <c r="I67" s="384" t="str">
        <f t="shared" si="0"/>
        <v xml:space="preserve"> </v>
      </c>
      <c r="J67" s="384"/>
      <c r="K67" s="368"/>
      <c r="L67" s="538"/>
      <c r="M67" s="552"/>
      <c r="N67" s="552"/>
      <c r="O67" s="368"/>
    </row>
    <row r="68" spans="1:15" ht="24.75" customHeight="1" x14ac:dyDescent="0.2">
      <c r="A68" s="368"/>
      <c r="B68" s="368"/>
      <c r="C68" s="368"/>
      <c r="D68" s="368"/>
      <c r="E68" s="368"/>
      <c r="F68" s="384"/>
      <c r="G68" s="368"/>
      <c r="H68" s="368"/>
      <c r="I68" s="384" t="str">
        <f t="shared" si="0"/>
        <v xml:space="preserve"> </v>
      </c>
      <c r="J68" s="384"/>
      <c r="K68" s="368"/>
      <c r="L68" s="538"/>
      <c r="M68" s="552"/>
      <c r="N68" s="552"/>
      <c r="O68" s="368"/>
    </row>
    <row r="69" spans="1:15" ht="24.75" customHeight="1" x14ac:dyDescent="0.2">
      <c r="A69" s="368"/>
      <c r="B69" s="368"/>
      <c r="C69" s="368"/>
      <c r="D69" s="368"/>
      <c r="E69" s="368"/>
      <c r="F69" s="384"/>
      <c r="G69" s="368"/>
      <c r="H69" s="368"/>
      <c r="I69" s="384" t="str">
        <f t="shared" si="0"/>
        <v xml:space="preserve"> </v>
      </c>
      <c r="J69" s="384"/>
      <c r="K69" s="368"/>
      <c r="L69" s="538"/>
      <c r="M69" s="552"/>
      <c r="N69" s="552"/>
      <c r="O69" s="368"/>
    </row>
    <row r="70" spans="1:15" ht="24.75" customHeight="1" x14ac:dyDescent="0.2">
      <c r="A70" s="368"/>
      <c r="B70" s="368"/>
      <c r="C70" s="368"/>
      <c r="D70" s="368"/>
      <c r="E70" s="368"/>
      <c r="F70" s="384"/>
      <c r="G70" s="368"/>
      <c r="H70" s="368"/>
      <c r="I70" s="384" t="str">
        <f t="shared" si="0"/>
        <v xml:space="preserve"> </v>
      </c>
      <c r="J70" s="384"/>
      <c r="K70" s="368"/>
      <c r="L70" s="538"/>
      <c r="M70" s="552"/>
      <c r="N70" s="552"/>
      <c r="O70" s="368"/>
    </row>
    <row r="71" spans="1:15" ht="24.75" customHeight="1" x14ac:dyDescent="0.2">
      <c r="A71" s="368"/>
      <c r="B71" s="368"/>
      <c r="C71" s="368"/>
      <c r="D71" s="368"/>
      <c r="E71" s="368"/>
      <c r="F71" s="384"/>
      <c r="G71" s="368"/>
      <c r="H71" s="368"/>
      <c r="I71" s="384" t="str">
        <f t="shared" si="0"/>
        <v xml:space="preserve"> </v>
      </c>
      <c r="J71" s="384"/>
      <c r="K71" s="368"/>
      <c r="L71" s="538"/>
      <c r="M71" s="552"/>
      <c r="N71" s="552"/>
      <c r="O71" s="368"/>
    </row>
    <row r="72" spans="1:15" ht="24.75" customHeight="1" x14ac:dyDescent="0.2">
      <c r="A72" s="368"/>
      <c r="B72" s="368"/>
      <c r="C72" s="368"/>
      <c r="D72" s="368"/>
      <c r="E72" s="368"/>
      <c r="F72" s="384"/>
      <c r="G72" s="368"/>
      <c r="H72" s="368"/>
      <c r="I72" s="384" t="str">
        <f t="shared" si="0"/>
        <v xml:space="preserve"> </v>
      </c>
      <c r="J72" s="384"/>
      <c r="K72" s="368"/>
      <c r="L72" s="538"/>
      <c r="M72" s="552"/>
      <c r="N72" s="552"/>
      <c r="O72" s="368"/>
    </row>
    <row r="73" spans="1:15" ht="24.75" customHeight="1" x14ac:dyDescent="0.2">
      <c r="A73" s="368"/>
      <c r="B73" s="368"/>
      <c r="C73" s="368"/>
      <c r="D73" s="368"/>
      <c r="E73" s="368"/>
      <c r="F73" s="384"/>
      <c r="G73" s="368"/>
      <c r="H73" s="368"/>
      <c r="I73" s="384" t="str">
        <f t="shared" si="0"/>
        <v xml:space="preserve"> </v>
      </c>
      <c r="J73" s="384"/>
      <c r="K73" s="368"/>
      <c r="L73" s="538"/>
      <c r="M73" s="552"/>
      <c r="N73" s="552"/>
      <c r="O73" s="368"/>
    </row>
    <row r="74" spans="1:15" ht="24.75" customHeight="1" x14ac:dyDescent="0.2">
      <c r="A74" s="368"/>
      <c r="B74" s="368"/>
      <c r="C74" s="368"/>
      <c r="D74" s="368"/>
      <c r="E74" s="368"/>
      <c r="F74" s="384"/>
      <c r="G74" s="368"/>
      <c r="H74" s="368"/>
      <c r="I74" s="384" t="str">
        <f t="shared" si="0"/>
        <v xml:space="preserve"> </v>
      </c>
      <c r="J74" s="384"/>
      <c r="K74" s="368"/>
      <c r="L74" s="538"/>
      <c r="M74" s="552"/>
      <c r="N74" s="552"/>
      <c r="O74" s="368"/>
    </row>
    <row r="75" spans="1:15" ht="24.75" customHeight="1" x14ac:dyDescent="0.2">
      <c r="A75" s="368"/>
      <c r="B75" s="368"/>
      <c r="C75" s="368"/>
      <c r="D75" s="368"/>
      <c r="E75" s="368"/>
      <c r="F75" s="384"/>
      <c r="G75" s="368"/>
      <c r="H75" s="368"/>
      <c r="I75" s="384" t="str">
        <f t="shared" si="0"/>
        <v xml:space="preserve"> </v>
      </c>
      <c r="J75" s="384"/>
      <c r="K75" s="368"/>
      <c r="L75" s="538"/>
      <c r="M75" s="552"/>
      <c r="N75" s="552"/>
      <c r="O75" s="368"/>
    </row>
    <row r="76" spans="1:15" ht="24.75" customHeight="1" x14ac:dyDescent="0.2">
      <c r="A76" s="368"/>
      <c r="B76" s="368"/>
      <c r="C76" s="368"/>
      <c r="D76" s="368"/>
      <c r="E76" s="368"/>
      <c r="F76" s="384"/>
      <c r="G76" s="368"/>
      <c r="H76" s="368"/>
      <c r="I76" s="384" t="str">
        <f t="shared" si="0"/>
        <v xml:space="preserve"> </v>
      </c>
      <c r="J76" s="384"/>
      <c r="K76" s="368"/>
      <c r="L76" s="538"/>
      <c r="M76" s="552"/>
      <c r="N76" s="552"/>
      <c r="O76" s="368"/>
    </row>
    <row r="77" spans="1:15" ht="24.75" customHeight="1" x14ac:dyDescent="0.2">
      <c r="A77" s="368"/>
      <c r="B77" s="368"/>
      <c r="C77" s="368"/>
      <c r="D77" s="368"/>
      <c r="E77" s="368"/>
      <c r="F77" s="384"/>
      <c r="G77" s="368"/>
      <c r="H77" s="368"/>
      <c r="I77" s="384" t="str">
        <f t="shared" si="0"/>
        <v xml:space="preserve"> </v>
      </c>
      <c r="J77" s="384"/>
      <c r="K77" s="368"/>
      <c r="L77" s="538"/>
      <c r="M77" s="552"/>
      <c r="N77" s="552"/>
      <c r="O77" s="368"/>
    </row>
    <row r="78" spans="1:15" ht="24.75" customHeight="1" x14ac:dyDescent="0.2">
      <c r="A78" s="368"/>
      <c r="B78" s="368"/>
      <c r="C78" s="368"/>
      <c r="D78" s="368"/>
      <c r="E78" s="368"/>
      <c r="F78" s="384"/>
      <c r="G78" s="368"/>
      <c r="H78" s="368"/>
      <c r="I78" s="384" t="str">
        <f t="shared" si="0"/>
        <v xml:space="preserve"> </v>
      </c>
      <c r="J78" s="384"/>
      <c r="K78" s="368"/>
      <c r="L78" s="538"/>
      <c r="M78" s="552"/>
      <c r="N78" s="552"/>
      <c r="O78" s="368"/>
    </row>
    <row r="79" spans="1:15" ht="24.75" customHeight="1" x14ac:dyDescent="0.2">
      <c r="A79" s="368"/>
      <c r="B79" s="368"/>
      <c r="C79" s="368"/>
      <c r="D79" s="368"/>
      <c r="E79" s="368"/>
      <c r="F79" s="384"/>
      <c r="G79" s="368"/>
      <c r="H79" s="368"/>
      <c r="I79" s="384" t="str">
        <f t="shared" si="0"/>
        <v xml:space="preserve"> </v>
      </c>
      <c r="J79" s="384"/>
      <c r="K79" s="368"/>
      <c r="L79" s="538"/>
      <c r="M79" s="552"/>
      <c r="N79" s="552"/>
      <c r="O79" s="368"/>
    </row>
    <row r="80" spans="1:15" ht="24.75" customHeight="1" x14ac:dyDescent="0.2">
      <c r="A80" s="368"/>
      <c r="B80" s="368"/>
      <c r="C80" s="368"/>
      <c r="D80" s="368"/>
      <c r="E80" s="368"/>
      <c r="F80" s="384"/>
      <c r="G80" s="368"/>
      <c r="H80" s="368"/>
      <c r="I80" s="384" t="str">
        <f t="shared" si="0"/>
        <v xml:space="preserve"> </v>
      </c>
      <c r="J80" s="384"/>
      <c r="K80" s="368"/>
      <c r="L80" s="538"/>
      <c r="M80" s="552"/>
      <c r="N80" s="552"/>
      <c r="O80" s="368"/>
    </row>
    <row r="81" spans="1:15" ht="24.75" customHeight="1" x14ac:dyDescent="0.2">
      <c r="A81" s="368"/>
      <c r="B81" s="368"/>
      <c r="C81" s="368"/>
      <c r="D81" s="368"/>
      <c r="E81" s="368"/>
      <c r="F81" s="384"/>
      <c r="G81" s="368"/>
      <c r="H81" s="368"/>
      <c r="I81" s="384" t="str">
        <f t="shared" si="0"/>
        <v xml:space="preserve"> </v>
      </c>
      <c r="J81" s="384"/>
      <c r="K81" s="368"/>
      <c r="L81" s="538"/>
      <c r="M81" s="552"/>
      <c r="N81" s="552"/>
      <c r="O81" s="368"/>
    </row>
    <row r="82" spans="1:15" ht="24.75" customHeight="1" x14ac:dyDescent="0.2">
      <c r="A82" s="368"/>
      <c r="B82" s="368"/>
      <c r="C82" s="368"/>
      <c r="D82" s="368"/>
      <c r="E82" s="368"/>
      <c r="F82" s="384"/>
      <c r="G82" s="368"/>
      <c r="H82" s="368"/>
      <c r="I82" s="384" t="str">
        <f t="shared" si="0"/>
        <v xml:space="preserve"> </v>
      </c>
      <c r="J82" s="384"/>
      <c r="K82" s="368"/>
      <c r="L82" s="538"/>
      <c r="M82" s="552"/>
      <c r="N82" s="552"/>
      <c r="O82" s="368"/>
    </row>
    <row r="83" spans="1:15" ht="24.75" customHeight="1" x14ac:dyDescent="0.2">
      <c r="A83" s="368"/>
      <c r="B83" s="368"/>
      <c r="C83" s="368"/>
      <c r="D83" s="368"/>
      <c r="E83" s="368"/>
      <c r="F83" s="384"/>
      <c r="G83" s="368"/>
      <c r="H83" s="368"/>
      <c r="I83" s="384" t="str">
        <f t="shared" si="0"/>
        <v xml:space="preserve"> </v>
      </c>
      <c r="J83" s="384"/>
      <c r="K83" s="368"/>
      <c r="L83" s="538"/>
      <c r="M83" s="552"/>
      <c r="N83" s="552"/>
      <c r="O83" s="368"/>
    </row>
    <row r="84" spans="1:15" ht="24.75" customHeight="1" x14ac:dyDescent="0.2">
      <c r="A84" s="368"/>
      <c r="B84" s="368"/>
      <c r="C84" s="368"/>
      <c r="D84" s="368"/>
      <c r="E84" s="368"/>
      <c r="F84" s="384"/>
      <c r="G84" s="368"/>
      <c r="H84" s="368"/>
      <c r="I84" s="384" t="str">
        <f t="shared" si="0"/>
        <v xml:space="preserve"> </v>
      </c>
      <c r="J84" s="384"/>
      <c r="K84" s="368"/>
      <c r="L84" s="538"/>
      <c r="M84" s="552"/>
      <c r="N84" s="552"/>
      <c r="O84" s="368"/>
    </row>
    <row r="85" spans="1:15" ht="24.75" customHeight="1" x14ac:dyDescent="0.2">
      <c r="A85" s="368"/>
      <c r="B85" s="368"/>
      <c r="C85" s="368"/>
      <c r="D85" s="368"/>
      <c r="E85" s="368"/>
      <c r="F85" s="384"/>
      <c r="G85" s="368"/>
      <c r="H85" s="368"/>
      <c r="I85" s="384" t="str">
        <f t="shared" si="0"/>
        <v xml:space="preserve"> </v>
      </c>
      <c r="J85" s="384"/>
      <c r="K85" s="368"/>
      <c r="L85" s="538"/>
      <c r="M85" s="552"/>
      <c r="N85" s="552"/>
      <c r="O85" s="368"/>
    </row>
    <row r="86" spans="1:15" ht="24.75" customHeight="1" x14ac:dyDescent="0.2">
      <c r="A86" s="368"/>
      <c r="B86" s="368"/>
      <c r="C86" s="368"/>
      <c r="D86" s="368"/>
      <c r="E86" s="368"/>
      <c r="F86" s="384"/>
      <c r="G86" s="368"/>
      <c r="H86" s="368"/>
      <c r="I86" s="384" t="str">
        <f t="shared" si="0"/>
        <v xml:space="preserve"> </v>
      </c>
      <c r="J86" s="384"/>
      <c r="K86" s="368"/>
      <c r="L86" s="538"/>
      <c r="M86" s="552"/>
      <c r="N86" s="552"/>
      <c r="O86" s="368"/>
    </row>
    <row r="87" spans="1:15" ht="24.75" customHeight="1" x14ac:dyDescent="0.2">
      <c r="A87" s="368"/>
      <c r="B87" s="368"/>
      <c r="C87" s="368"/>
      <c r="D87" s="368"/>
      <c r="E87" s="368"/>
      <c r="F87" s="384"/>
      <c r="G87" s="368"/>
      <c r="H87" s="368"/>
      <c r="I87" s="384" t="str">
        <f t="shared" ref="I87:I101" si="1">IF(H87="Yes",F87," ")</f>
        <v xml:space="preserve"> </v>
      </c>
      <c r="J87" s="384"/>
      <c r="K87" s="368"/>
      <c r="L87" s="538"/>
      <c r="M87" s="552"/>
      <c r="N87" s="552"/>
      <c r="O87" s="368"/>
    </row>
    <row r="88" spans="1:15" ht="24.75" customHeight="1" x14ac:dyDescent="0.2">
      <c r="A88" s="368"/>
      <c r="B88" s="368"/>
      <c r="C88" s="368"/>
      <c r="D88" s="368"/>
      <c r="E88" s="368"/>
      <c r="F88" s="384"/>
      <c r="G88" s="368"/>
      <c r="H88" s="368"/>
      <c r="I88" s="384" t="str">
        <f t="shared" si="1"/>
        <v xml:space="preserve"> </v>
      </c>
      <c r="J88" s="384"/>
      <c r="K88" s="368"/>
      <c r="L88" s="538"/>
      <c r="M88" s="552"/>
      <c r="N88" s="552"/>
      <c r="O88" s="368"/>
    </row>
    <row r="89" spans="1:15" ht="24.75" customHeight="1" x14ac:dyDescent="0.2">
      <c r="A89" s="368"/>
      <c r="B89" s="368"/>
      <c r="C89" s="368"/>
      <c r="D89" s="368"/>
      <c r="E89" s="368"/>
      <c r="F89" s="384"/>
      <c r="G89" s="368"/>
      <c r="H89" s="368"/>
      <c r="I89" s="384" t="str">
        <f t="shared" si="1"/>
        <v xml:space="preserve"> </v>
      </c>
      <c r="J89" s="384"/>
      <c r="K89" s="368"/>
      <c r="L89" s="538"/>
      <c r="M89" s="552"/>
      <c r="N89" s="552"/>
      <c r="O89" s="368"/>
    </row>
    <row r="90" spans="1:15" ht="24.75" customHeight="1" x14ac:dyDescent="0.2">
      <c r="A90" s="368"/>
      <c r="B90" s="368"/>
      <c r="C90" s="368"/>
      <c r="D90" s="368"/>
      <c r="E90" s="368"/>
      <c r="F90" s="384"/>
      <c r="G90" s="368"/>
      <c r="H90" s="368"/>
      <c r="I90" s="384" t="str">
        <f t="shared" si="1"/>
        <v xml:space="preserve"> </v>
      </c>
      <c r="J90" s="384"/>
      <c r="K90" s="368"/>
      <c r="L90" s="538"/>
      <c r="M90" s="552"/>
      <c r="N90" s="552"/>
      <c r="O90" s="368"/>
    </row>
    <row r="91" spans="1:15" ht="24.75" customHeight="1" x14ac:dyDescent="0.2">
      <c r="A91" s="368"/>
      <c r="B91" s="368"/>
      <c r="C91" s="368"/>
      <c r="D91" s="368"/>
      <c r="E91" s="368"/>
      <c r="F91" s="384"/>
      <c r="G91" s="368"/>
      <c r="H91" s="368"/>
      <c r="I91" s="384" t="str">
        <f t="shared" si="1"/>
        <v xml:space="preserve"> </v>
      </c>
      <c r="J91" s="384"/>
      <c r="K91" s="368"/>
      <c r="L91" s="538"/>
      <c r="M91" s="552"/>
      <c r="N91" s="552"/>
      <c r="O91" s="368"/>
    </row>
    <row r="92" spans="1:15" ht="24.75" customHeight="1" x14ac:dyDescent="0.2">
      <c r="A92" s="368"/>
      <c r="B92" s="368"/>
      <c r="C92" s="368"/>
      <c r="D92" s="368"/>
      <c r="E92" s="368"/>
      <c r="F92" s="384"/>
      <c r="G92" s="368"/>
      <c r="H92" s="368"/>
      <c r="I92" s="384" t="str">
        <f t="shared" si="1"/>
        <v xml:space="preserve"> </v>
      </c>
      <c r="J92" s="384"/>
      <c r="K92" s="368"/>
      <c r="L92" s="538"/>
      <c r="M92" s="552"/>
      <c r="N92" s="552"/>
      <c r="O92" s="368"/>
    </row>
    <row r="93" spans="1:15" ht="24.75" customHeight="1" x14ac:dyDescent="0.2">
      <c r="A93" s="368"/>
      <c r="B93" s="368"/>
      <c r="C93" s="368"/>
      <c r="D93" s="368"/>
      <c r="E93" s="368"/>
      <c r="F93" s="384"/>
      <c r="G93" s="368"/>
      <c r="H93" s="368"/>
      <c r="I93" s="384" t="str">
        <f t="shared" si="1"/>
        <v xml:space="preserve"> </v>
      </c>
      <c r="J93" s="384"/>
      <c r="K93" s="368"/>
      <c r="L93" s="538"/>
      <c r="M93" s="552"/>
      <c r="N93" s="552"/>
      <c r="O93" s="368"/>
    </row>
    <row r="94" spans="1:15" ht="24.75" customHeight="1" x14ac:dyDescent="0.2">
      <c r="A94" s="368"/>
      <c r="B94" s="368"/>
      <c r="C94" s="368"/>
      <c r="D94" s="368"/>
      <c r="E94" s="368"/>
      <c r="F94" s="384"/>
      <c r="G94" s="368"/>
      <c r="H94" s="368"/>
      <c r="I94" s="384" t="str">
        <f t="shared" si="1"/>
        <v xml:space="preserve"> </v>
      </c>
      <c r="J94" s="384"/>
      <c r="K94" s="368"/>
      <c r="L94" s="538"/>
      <c r="M94" s="552"/>
      <c r="N94" s="552"/>
      <c r="O94" s="368"/>
    </row>
    <row r="95" spans="1:15" ht="24.75" customHeight="1" x14ac:dyDescent="0.2">
      <c r="A95" s="368"/>
      <c r="B95" s="368"/>
      <c r="C95" s="368"/>
      <c r="D95" s="368"/>
      <c r="E95" s="368"/>
      <c r="F95" s="384"/>
      <c r="G95" s="368"/>
      <c r="H95" s="368"/>
      <c r="I95" s="384" t="str">
        <f t="shared" si="1"/>
        <v xml:space="preserve"> </v>
      </c>
      <c r="J95" s="384"/>
      <c r="K95" s="368"/>
      <c r="L95" s="538"/>
      <c r="M95" s="552"/>
      <c r="N95" s="552"/>
      <c r="O95" s="368"/>
    </row>
    <row r="96" spans="1:15" ht="24.75" customHeight="1" x14ac:dyDescent="0.2">
      <c r="A96" s="368"/>
      <c r="B96" s="368"/>
      <c r="C96" s="368"/>
      <c r="D96" s="368"/>
      <c r="E96" s="368"/>
      <c r="F96" s="384"/>
      <c r="G96" s="368"/>
      <c r="H96" s="368"/>
      <c r="I96" s="384" t="str">
        <f t="shared" si="1"/>
        <v xml:space="preserve"> </v>
      </c>
      <c r="J96" s="384"/>
      <c r="K96" s="368"/>
      <c r="L96" s="538"/>
      <c r="M96" s="552"/>
      <c r="N96" s="552"/>
      <c r="O96" s="368"/>
    </row>
    <row r="97" spans="1:15" ht="24.75" customHeight="1" x14ac:dyDescent="0.2">
      <c r="A97" s="368"/>
      <c r="B97" s="368"/>
      <c r="C97" s="368"/>
      <c r="D97" s="368"/>
      <c r="E97" s="368"/>
      <c r="F97" s="384"/>
      <c r="G97" s="368"/>
      <c r="H97" s="368"/>
      <c r="I97" s="384" t="str">
        <f t="shared" si="1"/>
        <v xml:space="preserve"> </v>
      </c>
      <c r="J97" s="384"/>
      <c r="K97" s="368"/>
      <c r="L97" s="538"/>
      <c r="M97" s="552"/>
      <c r="N97" s="552"/>
      <c r="O97" s="368"/>
    </row>
    <row r="98" spans="1:15" ht="24.75" customHeight="1" x14ac:dyDescent="0.2">
      <c r="A98" s="368"/>
      <c r="B98" s="368"/>
      <c r="C98" s="368"/>
      <c r="D98" s="368"/>
      <c r="E98" s="368"/>
      <c r="F98" s="384"/>
      <c r="G98" s="368"/>
      <c r="H98" s="368"/>
      <c r="I98" s="384" t="str">
        <f t="shared" si="1"/>
        <v xml:space="preserve"> </v>
      </c>
      <c r="J98" s="384"/>
      <c r="K98" s="368"/>
      <c r="L98" s="538"/>
      <c r="M98" s="552"/>
      <c r="N98" s="552"/>
      <c r="O98" s="368"/>
    </row>
    <row r="99" spans="1:15" ht="24.75" customHeight="1" x14ac:dyDescent="0.2">
      <c r="A99" s="368"/>
      <c r="B99" s="368"/>
      <c r="C99" s="368"/>
      <c r="D99" s="368"/>
      <c r="E99" s="368"/>
      <c r="F99" s="384"/>
      <c r="G99" s="368"/>
      <c r="H99" s="368"/>
      <c r="I99" s="384" t="str">
        <f t="shared" si="1"/>
        <v xml:space="preserve"> </v>
      </c>
      <c r="J99" s="384"/>
      <c r="K99" s="368"/>
      <c r="L99" s="538"/>
      <c r="M99" s="552"/>
      <c r="N99" s="552"/>
      <c r="O99" s="368"/>
    </row>
    <row r="100" spans="1:15" ht="24.75" customHeight="1" x14ac:dyDescent="0.2">
      <c r="A100" s="368"/>
      <c r="B100" s="368"/>
      <c r="C100" s="368"/>
      <c r="D100" s="368"/>
      <c r="E100" s="368"/>
      <c r="F100" s="384"/>
      <c r="G100" s="368"/>
      <c r="H100" s="368"/>
      <c r="I100" s="384" t="str">
        <f t="shared" si="1"/>
        <v xml:space="preserve"> </v>
      </c>
      <c r="J100" s="384"/>
      <c r="K100" s="368"/>
      <c r="L100" s="538"/>
      <c r="M100" s="552"/>
      <c r="N100" s="552"/>
      <c r="O100" s="368"/>
    </row>
    <row r="101" spans="1:15" x14ac:dyDescent="0.2">
      <c r="A101" s="368"/>
      <c r="B101" s="368"/>
      <c r="C101" s="368"/>
      <c r="D101" s="368"/>
      <c r="E101" s="368"/>
      <c r="F101" s="384"/>
      <c r="G101" s="368"/>
      <c r="H101" s="368"/>
      <c r="I101" s="384" t="str">
        <f t="shared" si="1"/>
        <v xml:space="preserve"> </v>
      </c>
      <c r="J101" s="384"/>
      <c r="K101" s="368"/>
      <c r="L101" s="538"/>
      <c r="M101" s="552"/>
      <c r="N101" s="552"/>
      <c r="O101" s="368"/>
    </row>
    <row r="102" spans="1:15" x14ac:dyDescent="0.2">
      <c r="I102" s="385"/>
    </row>
  </sheetData>
  <sheetProtection algorithmName="SHA-512" hashValue="fli3Uq4TxDFNMmlsnarp0XR+yie8Z+PBmcEvzDIvcLHYdZb4eH5+tfBLVGQIeORhSvpLQR/Jr3iLj86T3dOy1g==" saltValue="P9RlfGVlr72i5yU547L2JQ==" spinCount="100000" sheet="1" objects="1" scenarios="1"/>
  <mergeCells count="113">
    <mergeCell ref="L101:N101"/>
    <mergeCell ref="L95:N95"/>
    <mergeCell ref="L96:N96"/>
    <mergeCell ref="L97:N97"/>
    <mergeCell ref="L98:N98"/>
    <mergeCell ref="L99:N99"/>
    <mergeCell ref="L100:N100"/>
    <mergeCell ref="L89:N89"/>
    <mergeCell ref="L90:N90"/>
    <mergeCell ref="L91:N91"/>
    <mergeCell ref="L92:N92"/>
    <mergeCell ref="L93:N93"/>
    <mergeCell ref="L94:N94"/>
    <mergeCell ref="L83:N83"/>
    <mergeCell ref="L84:N84"/>
    <mergeCell ref="L85:N85"/>
    <mergeCell ref="L86:N86"/>
    <mergeCell ref="L87:N87"/>
    <mergeCell ref="L88:N88"/>
    <mergeCell ref="L77:N77"/>
    <mergeCell ref="L78:N78"/>
    <mergeCell ref="L79:N79"/>
    <mergeCell ref="L80:N80"/>
    <mergeCell ref="L81:N81"/>
    <mergeCell ref="L82:N82"/>
    <mergeCell ref="L71:N71"/>
    <mergeCell ref="L72:N72"/>
    <mergeCell ref="L73:N73"/>
    <mergeCell ref="L74:N74"/>
    <mergeCell ref="L75:N75"/>
    <mergeCell ref="L76:N76"/>
    <mergeCell ref="L65:N65"/>
    <mergeCell ref="L66:N66"/>
    <mergeCell ref="L67:N67"/>
    <mergeCell ref="L68:N68"/>
    <mergeCell ref="L69:N69"/>
    <mergeCell ref="L70:N70"/>
    <mergeCell ref="L59:N59"/>
    <mergeCell ref="L60:N60"/>
    <mergeCell ref="L61:N61"/>
    <mergeCell ref="L62:N62"/>
    <mergeCell ref="L63:N63"/>
    <mergeCell ref="L64:N64"/>
    <mergeCell ref="L53:N53"/>
    <mergeCell ref="L54:N54"/>
    <mergeCell ref="L55:N55"/>
    <mergeCell ref="L56:N56"/>
    <mergeCell ref="L57:N57"/>
    <mergeCell ref="L58:N58"/>
    <mergeCell ref="L47:N47"/>
    <mergeCell ref="L48:N48"/>
    <mergeCell ref="L49:N49"/>
    <mergeCell ref="L50:N50"/>
    <mergeCell ref="L51:N51"/>
    <mergeCell ref="L52:N52"/>
    <mergeCell ref="L41:N41"/>
    <mergeCell ref="L42:N42"/>
    <mergeCell ref="L43:N43"/>
    <mergeCell ref="L44:N44"/>
    <mergeCell ref="L45:N45"/>
    <mergeCell ref="L46:N46"/>
    <mergeCell ref="L35:N35"/>
    <mergeCell ref="L36:N36"/>
    <mergeCell ref="L37:N37"/>
    <mergeCell ref="L38:N38"/>
    <mergeCell ref="L39:N39"/>
    <mergeCell ref="L40:N40"/>
    <mergeCell ref="L29:N29"/>
    <mergeCell ref="L30:N30"/>
    <mergeCell ref="L31:N31"/>
    <mergeCell ref="L32:N32"/>
    <mergeCell ref="L33:N33"/>
    <mergeCell ref="L34:N34"/>
    <mergeCell ref="L23:N23"/>
    <mergeCell ref="L24:N24"/>
    <mergeCell ref="L25:N25"/>
    <mergeCell ref="L26:N26"/>
    <mergeCell ref="L27:N27"/>
    <mergeCell ref="L28:N28"/>
    <mergeCell ref="L17:N17"/>
    <mergeCell ref="L18:N18"/>
    <mergeCell ref="L19:N19"/>
    <mergeCell ref="L20:N20"/>
    <mergeCell ref="L21:N21"/>
    <mergeCell ref="L22:N22"/>
    <mergeCell ref="A8:B8"/>
    <mergeCell ref="D8:F8"/>
    <mergeCell ref="L13:N13"/>
    <mergeCell ref="L14:N14"/>
    <mergeCell ref="L15:N15"/>
    <mergeCell ref="L16:N16"/>
    <mergeCell ref="A6:B6"/>
    <mergeCell ref="D6:F6"/>
    <mergeCell ref="J6:L6"/>
    <mergeCell ref="M6:N6"/>
    <mergeCell ref="A7:B7"/>
    <mergeCell ref="D7:F7"/>
    <mergeCell ref="J7:L7"/>
    <mergeCell ref="M7:N7"/>
    <mergeCell ref="B4:D4"/>
    <mergeCell ref="E4:F4"/>
    <mergeCell ref="G4:J4"/>
    <mergeCell ref="K4:N4"/>
    <mergeCell ref="B5:D5"/>
    <mergeCell ref="E5:F5"/>
    <mergeCell ref="G5:J5"/>
    <mergeCell ref="K5:N5"/>
    <mergeCell ref="A2:D2"/>
    <mergeCell ref="E2:J2"/>
    <mergeCell ref="K2:N2"/>
    <mergeCell ref="A3:D3"/>
    <mergeCell ref="E3:J3"/>
    <mergeCell ref="K3:N3"/>
  </mergeCells>
  <pageMargins left="0.24" right="0.25" top="0.95" bottom="0.63" header="0.38" footer="0.25"/>
  <pageSetup scale="65" fitToHeight="0" orientation="portrait" r:id="rId1"/>
  <headerFooter alignWithMargins="0">
    <oddHeader>&amp;C&amp;"Elephant,Italic"&amp;14Confidential QI Report&amp;"Arial,Bold"&amp;10
San Diego County Mental Health Plan
&amp;"Arial,Regular"Behavioral Health Services
Fiscal Year 22-23</oddHeader>
    <oddFooter>&amp;L&amp;"Times New Roman,Regular"&amp;8FY 22-23 Medical Record Review Report - Excel - Rev. 7-1-22&amp;R&amp;P</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695DE61-273C-4903-B054-0C3A6408CDFE}">
          <x14:formula1>
            <xm:f>Validations!$D$4:$D$7</xm:f>
          </x14:formula1>
          <xm:sqref>J14:J101</xm:sqref>
        </x14:dataValidation>
        <x14:dataValidation type="list" allowBlank="1" showInputMessage="1" showErrorMessage="1" xr:uid="{216F51A6-48E2-4EBE-BDB7-F36D300D6FAD}">
          <x14:formula1>
            <xm:f>Validations!$E$4:$E$15</xm:f>
          </x14:formula1>
          <xm:sqref>K14:K101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3">
    <tabColor theme="3" tint="0.39997558519241921"/>
  </sheetPr>
  <dimension ref="A1:AF90"/>
  <sheetViews>
    <sheetView view="pageBreakPreview" zoomScaleNormal="80" zoomScaleSheetLayoutView="100" workbookViewId="0">
      <selection activeCell="V74" sqref="V74"/>
    </sheetView>
  </sheetViews>
  <sheetFormatPr defaultColWidth="9.5703125" defaultRowHeight="15" x14ac:dyDescent="0.2"/>
  <cols>
    <col min="1" max="1" width="7.7109375" style="106" customWidth="1"/>
    <col min="2" max="2" width="8.42578125" style="4" customWidth="1"/>
    <col min="3" max="3" width="8.42578125" style="5" customWidth="1"/>
    <col min="4" max="4" width="2.5703125" style="1" customWidth="1"/>
    <col min="5" max="5" width="7.140625" style="1" customWidth="1"/>
    <col min="6" max="6" width="8.5703125" style="1" customWidth="1"/>
    <col min="7" max="7" width="6.42578125" style="1" customWidth="1"/>
    <col min="8" max="8" width="4.7109375" style="1" customWidth="1"/>
    <col min="9" max="9" width="27.28515625" style="1" customWidth="1"/>
    <col min="10" max="10" width="4.85546875" style="1" customWidth="1"/>
    <col min="11" max="11" width="18.140625" style="1" customWidth="1"/>
    <col min="12" max="12" width="3.42578125" style="1" customWidth="1"/>
    <col min="13" max="13" width="12.140625" style="1" customWidth="1"/>
    <col min="14" max="14" width="9.5703125" style="1" customWidth="1"/>
    <col min="15" max="15" width="13.28515625" style="1" customWidth="1"/>
    <col min="16" max="16" width="9.42578125" style="1" hidden="1" customWidth="1"/>
    <col min="17" max="19" width="3.42578125" style="1" customWidth="1"/>
    <col min="20" max="20" width="11.42578125" customWidth="1"/>
    <col min="21" max="21" width="13.42578125" customWidth="1"/>
    <col min="22" max="22" width="10.85546875" style="1" customWidth="1"/>
    <col min="23" max="23" width="26.140625" style="1" customWidth="1"/>
    <col min="24" max="24" width="11.42578125" style="1" customWidth="1"/>
    <col min="25" max="25" width="9.140625" style="1" customWidth="1"/>
    <col min="26" max="26" width="12.140625" style="1" customWidth="1"/>
    <col min="27" max="28" width="15.140625" style="1" customWidth="1"/>
    <col min="29" max="29" width="22" style="1" customWidth="1"/>
    <col min="30" max="16384" width="9.5703125" style="1"/>
  </cols>
  <sheetData>
    <row r="1" spans="1:32" s="5" customFormat="1" ht="15.75" x14ac:dyDescent="0.25">
      <c r="A1" s="106"/>
      <c r="B1" s="4"/>
      <c r="C1" s="560" t="s">
        <v>338</v>
      </c>
      <c r="D1" s="561"/>
      <c r="E1" s="561"/>
      <c r="F1" s="561"/>
      <c r="G1" s="562"/>
      <c r="H1"/>
      <c r="I1" s="86" t="s">
        <v>38</v>
      </c>
      <c r="J1" s="153"/>
      <c r="K1" s="560" t="s">
        <v>12</v>
      </c>
      <c r="L1" s="562"/>
      <c r="N1"/>
      <c r="O1"/>
      <c r="P1"/>
      <c r="Q1"/>
      <c r="R1"/>
      <c r="S1"/>
      <c r="T1" s="560" t="s">
        <v>260</v>
      </c>
      <c r="U1" s="561"/>
      <c r="V1" s="562"/>
      <c r="W1"/>
      <c r="X1"/>
      <c r="Y1"/>
      <c r="Z1"/>
      <c r="AA1"/>
      <c r="AB1"/>
      <c r="AC1"/>
    </row>
    <row r="2" spans="1:32" s="5" customFormat="1" ht="15" customHeight="1" x14ac:dyDescent="0.2">
      <c r="A2" s="106"/>
      <c r="B2" s="4"/>
      <c r="C2" s="583">
        <f>'Chart Review Info'!D3</f>
        <v>0</v>
      </c>
      <c r="D2" s="584"/>
      <c r="E2" s="584"/>
      <c r="F2" s="584"/>
      <c r="G2" s="585"/>
      <c r="H2"/>
      <c r="I2" s="150">
        <f>'Chart Review Info'!D4</f>
        <v>0</v>
      </c>
      <c r="J2" s="153"/>
      <c r="K2" s="592">
        <f>'Chart Review Info'!F14</f>
        <v>0</v>
      </c>
      <c r="L2" s="591"/>
      <c r="N2"/>
      <c r="O2"/>
      <c r="P2"/>
      <c r="Q2"/>
      <c r="R2"/>
      <c r="S2"/>
      <c r="T2" s="55">
        <f>'Chart Review Info'!G4</f>
        <v>0</v>
      </c>
      <c r="U2" s="82" t="s">
        <v>261</v>
      </c>
      <c r="V2" s="83">
        <f>'Chart Review Info'!G5</f>
        <v>0</v>
      </c>
      <c r="W2"/>
      <c r="X2"/>
      <c r="Y2"/>
      <c r="Z2"/>
      <c r="AA2"/>
      <c r="AB2"/>
      <c r="AC2"/>
    </row>
    <row r="3" spans="1:32" s="5" customFormat="1" x14ac:dyDescent="0.2">
      <c r="A3" s="106"/>
      <c r="B3" s="4"/>
      <c r="C3" s="84"/>
      <c r="H3"/>
      <c r="J3" s="98"/>
      <c r="W3"/>
      <c r="X3"/>
      <c r="Y3"/>
      <c r="Z3"/>
      <c r="AA3"/>
      <c r="AB3"/>
      <c r="AC3"/>
    </row>
    <row r="4" spans="1:32" s="5" customFormat="1" ht="15.75" x14ac:dyDescent="0.25">
      <c r="A4" s="106"/>
      <c r="B4" s="4"/>
      <c r="C4" s="85" t="s">
        <v>202</v>
      </c>
      <c r="E4" s="85" t="s">
        <v>86</v>
      </c>
      <c r="F4" s="86"/>
      <c r="G4" s="85"/>
      <c r="H4"/>
      <c r="I4" s="151" t="s">
        <v>350</v>
      </c>
      <c r="J4" s="98"/>
      <c r="K4" s="87" t="s">
        <v>260</v>
      </c>
      <c r="L4" s="88"/>
      <c r="O4" s="86" t="s">
        <v>294</v>
      </c>
      <c r="P4"/>
      <c r="Q4"/>
      <c r="R4"/>
      <c r="S4"/>
      <c r="T4" s="85" t="s">
        <v>12</v>
      </c>
      <c r="U4" s="563">
        <f>Prog_1</f>
        <v>0</v>
      </c>
      <c r="V4" s="564"/>
      <c r="W4"/>
      <c r="X4"/>
      <c r="Y4"/>
      <c r="Z4"/>
      <c r="AA4"/>
      <c r="AB4"/>
      <c r="AC4"/>
    </row>
    <row r="5" spans="1:32" s="5" customFormat="1" x14ac:dyDescent="0.2">
      <c r="A5" s="106"/>
      <c r="B5" s="4"/>
      <c r="C5" s="54">
        <v>1</v>
      </c>
      <c r="E5" s="589" t="str">
        <f>'Chart Review Info'!C14</f>
        <v>N/A</v>
      </c>
      <c r="F5" s="590"/>
      <c r="G5" s="591"/>
      <c r="H5"/>
      <c r="I5" s="152">
        <f>Consum_1</f>
        <v>0</v>
      </c>
      <c r="J5" s="98"/>
      <c r="K5" s="293">
        <f>'Chart Review Info'!G4</f>
        <v>0</v>
      </c>
      <c r="L5" s="102" t="s">
        <v>261</v>
      </c>
      <c r="M5" s="293">
        <f>'Chart Review Info'!G5</f>
        <v>0</v>
      </c>
      <c r="O5" s="54">
        <f>'Chart Review Info'!G14</f>
        <v>0</v>
      </c>
      <c r="P5"/>
      <c r="Q5"/>
      <c r="R5"/>
      <c r="S5"/>
      <c r="T5"/>
      <c r="U5"/>
      <c r="W5"/>
      <c r="X5"/>
      <c r="Y5"/>
      <c r="Z5" s="6" t="s">
        <v>514</v>
      </c>
      <c r="AA5"/>
      <c r="AB5"/>
      <c r="AC5"/>
    </row>
    <row r="6" spans="1:32" x14ac:dyDescent="0.2">
      <c r="C6" s="154"/>
      <c r="D6" s="158"/>
      <c r="E6" s="155"/>
      <c r="F6" s="155"/>
      <c r="G6" s="155"/>
      <c r="H6" s="155"/>
      <c r="I6" s="155"/>
      <c r="J6" s="155"/>
      <c r="K6" s="155"/>
      <c r="L6" s="155"/>
      <c r="M6" s="155"/>
      <c r="N6" s="155"/>
      <c r="O6" s="155"/>
      <c r="P6" s="155"/>
      <c r="Q6" s="155"/>
      <c r="R6" s="155"/>
      <c r="S6" s="155"/>
      <c r="U6" s="1"/>
      <c r="X6" s="51"/>
      <c r="Z6" s="329">
        <f>SUM(Z9:Z16)</f>
        <v>0</v>
      </c>
      <c r="AB6" s="13"/>
      <c r="AC6" s="13"/>
    </row>
    <row r="7" spans="1:32" ht="23.25" x14ac:dyDescent="0.25">
      <c r="C7" s="89" t="s">
        <v>262</v>
      </c>
      <c r="D7" s="159"/>
      <c r="E7" s="90"/>
      <c r="F7" s="90"/>
      <c r="G7" s="90"/>
      <c r="H7" s="90"/>
      <c r="I7" s="90"/>
      <c r="J7" s="90"/>
      <c r="K7" s="90"/>
      <c r="L7" s="90"/>
      <c r="M7" s="90"/>
      <c r="N7" s="90"/>
      <c r="O7" s="90"/>
      <c r="P7" s="90"/>
      <c r="T7" s="20"/>
      <c r="U7" s="21"/>
      <c r="V7" s="21"/>
      <c r="W7" s="21"/>
      <c r="X7" s="21"/>
      <c r="Y7" s="160" t="s">
        <v>263</v>
      </c>
      <c r="Z7" s="160"/>
      <c r="AA7" s="160"/>
      <c r="AB7" s="22"/>
      <c r="AC7" s="23"/>
    </row>
    <row r="8" spans="1:32" ht="21.75" customHeight="1" x14ac:dyDescent="0.25">
      <c r="C8" s="91" t="s">
        <v>264</v>
      </c>
      <c r="D8" s="588" t="s">
        <v>68</v>
      </c>
      <c r="E8" s="574"/>
      <c r="F8" s="574"/>
      <c r="G8" s="574"/>
      <c r="H8" s="574"/>
      <c r="I8" s="574"/>
      <c r="J8" s="574"/>
      <c r="K8" s="574"/>
      <c r="L8" s="574"/>
      <c r="M8" s="574"/>
      <c r="N8" s="574"/>
      <c r="O8" s="92" t="s">
        <v>265</v>
      </c>
      <c r="P8" s="92" t="s">
        <v>266</v>
      </c>
      <c r="Q8" s="359"/>
      <c r="R8" s="359"/>
      <c r="S8" s="359"/>
      <c r="T8" s="7" t="s">
        <v>449</v>
      </c>
      <c r="U8" s="9" t="s">
        <v>87</v>
      </c>
      <c r="V8" s="7" t="s">
        <v>88</v>
      </c>
      <c r="W8" s="7" t="s">
        <v>89</v>
      </c>
      <c r="X8" s="7" t="s">
        <v>90</v>
      </c>
      <c r="Y8" s="7" t="s">
        <v>644</v>
      </c>
      <c r="Z8" s="8" t="s">
        <v>201</v>
      </c>
      <c r="AA8" s="116" t="s">
        <v>91</v>
      </c>
      <c r="AB8" s="117" t="s">
        <v>95</v>
      </c>
      <c r="AC8" s="117" t="s">
        <v>92</v>
      </c>
    </row>
    <row r="9" spans="1:32" ht="60" customHeight="1" x14ac:dyDescent="0.2">
      <c r="A9" s="212" t="s">
        <v>73</v>
      </c>
      <c r="B9" s="93"/>
      <c r="C9" s="94" t="s">
        <v>204</v>
      </c>
      <c r="D9" s="567" t="s">
        <v>658</v>
      </c>
      <c r="E9" s="470"/>
      <c r="F9" s="470"/>
      <c r="G9" s="470"/>
      <c r="H9" s="470"/>
      <c r="I9" s="470"/>
      <c r="J9" s="470"/>
      <c r="K9" s="470"/>
      <c r="L9" s="470"/>
      <c r="M9" s="470"/>
      <c r="N9" s="471"/>
      <c r="O9" s="71"/>
      <c r="P9" s="95" t="str">
        <f t="shared" ref="P9" si="0">IF(O9="","",IF(O9="Yes","Pass",IF(O9="No","Fail","N/A")))</f>
        <v/>
      </c>
      <c r="Q9" s="173"/>
      <c r="R9" s="173"/>
      <c r="S9" s="173"/>
      <c r="T9" s="124"/>
      <c r="U9" s="125"/>
      <c r="V9" s="125"/>
      <c r="W9" s="125"/>
      <c r="X9" s="126"/>
      <c r="Y9" s="125"/>
      <c r="Z9" s="127"/>
      <c r="AA9" s="128"/>
      <c r="AB9" s="129"/>
      <c r="AC9" s="130"/>
      <c r="AD9" s="96"/>
      <c r="AE9" s="96"/>
      <c r="AF9" s="96"/>
    </row>
    <row r="10" spans="1:32" ht="87" customHeight="1" x14ac:dyDescent="0.2">
      <c r="A10" s="107">
        <v>1</v>
      </c>
      <c r="B10" s="93"/>
      <c r="C10" s="94" t="s">
        <v>205</v>
      </c>
      <c r="D10" s="567" t="s">
        <v>528</v>
      </c>
      <c r="E10" s="586"/>
      <c r="F10" s="586"/>
      <c r="G10" s="586"/>
      <c r="H10" s="586"/>
      <c r="I10" s="586"/>
      <c r="J10" s="586"/>
      <c r="K10" s="586"/>
      <c r="L10" s="586"/>
      <c r="M10" s="586"/>
      <c r="N10" s="587"/>
      <c r="O10" s="71"/>
      <c r="P10" s="95" t="str">
        <f t="shared" ref="P10" si="1">IF(O10="","",IF(O10="Yes","Pass",IF(O10="No","Fail","N/A")))</f>
        <v/>
      </c>
      <c r="Q10" s="173"/>
      <c r="R10" s="173"/>
      <c r="S10" s="173"/>
      <c r="T10" s="124"/>
      <c r="U10" s="124"/>
      <c r="V10" s="124"/>
      <c r="W10" s="125"/>
      <c r="X10" s="131"/>
      <c r="Y10" s="124"/>
      <c r="Z10" s="127"/>
      <c r="AA10" s="128"/>
      <c r="AB10" s="129"/>
      <c r="AC10" s="129"/>
    </row>
    <row r="11" spans="1:32" ht="30" customHeight="1" x14ac:dyDescent="0.2">
      <c r="A11" s="107" t="s">
        <v>70</v>
      </c>
      <c r="B11" s="93"/>
      <c r="C11" s="94" t="s">
        <v>206</v>
      </c>
      <c r="D11" s="567" t="s">
        <v>529</v>
      </c>
      <c r="E11" s="586"/>
      <c r="F11" s="586"/>
      <c r="G11" s="586"/>
      <c r="H11" s="586"/>
      <c r="I11" s="586"/>
      <c r="J11" s="586"/>
      <c r="K11" s="586"/>
      <c r="L11" s="586"/>
      <c r="M11" s="586"/>
      <c r="N11" s="587"/>
      <c r="O11" s="71"/>
      <c r="P11" s="95" t="str">
        <f t="shared" ref="P11:P12" si="2">IF(O11="","",IF(O11="Yes","Pass",IF(O11="No","Fail","N/A")))</f>
        <v/>
      </c>
      <c r="Q11" s="173"/>
      <c r="R11" s="173"/>
      <c r="S11" s="173"/>
      <c r="T11" s="124"/>
      <c r="U11" s="124"/>
      <c r="V11" s="124"/>
      <c r="W11" s="125"/>
      <c r="X11" s="131"/>
      <c r="Y11" s="124"/>
      <c r="Z11" s="127"/>
      <c r="AA11" s="128"/>
      <c r="AB11" s="129"/>
      <c r="AC11" s="129"/>
    </row>
    <row r="12" spans="1:32" ht="39.75" customHeight="1" x14ac:dyDescent="0.2">
      <c r="A12" s="106">
        <v>1</v>
      </c>
      <c r="C12" s="94" t="s">
        <v>207</v>
      </c>
      <c r="D12" s="567" t="s">
        <v>659</v>
      </c>
      <c r="E12" s="586"/>
      <c r="F12" s="586"/>
      <c r="G12" s="586"/>
      <c r="H12" s="586"/>
      <c r="I12" s="586"/>
      <c r="J12" s="586"/>
      <c r="K12" s="586"/>
      <c r="L12" s="586"/>
      <c r="M12" s="586"/>
      <c r="N12" s="587"/>
      <c r="O12" s="71"/>
      <c r="P12" s="95" t="str">
        <f t="shared" si="2"/>
        <v/>
      </c>
      <c r="Q12" s="173"/>
      <c r="R12" s="173"/>
      <c r="S12" s="173"/>
      <c r="T12" s="124"/>
      <c r="U12" s="124"/>
      <c r="V12" s="124"/>
      <c r="W12" s="125"/>
      <c r="X12" s="131"/>
      <c r="Y12" s="124"/>
      <c r="Z12" s="127"/>
      <c r="AA12" s="128"/>
      <c r="AB12" s="129"/>
      <c r="AC12" s="129"/>
    </row>
    <row r="13" spans="1:32" ht="34.5" customHeight="1" x14ac:dyDescent="0.2">
      <c r="A13" s="107">
        <v>1</v>
      </c>
      <c r="B13" s="93"/>
      <c r="C13" s="97" t="s">
        <v>208</v>
      </c>
      <c r="D13" s="567" t="s">
        <v>656</v>
      </c>
      <c r="E13" s="470"/>
      <c r="F13" s="470"/>
      <c r="G13" s="470"/>
      <c r="H13" s="470"/>
      <c r="I13" s="470"/>
      <c r="J13" s="470"/>
      <c r="K13" s="470"/>
      <c r="L13" s="470"/>
      <c r="M13" s="470"/>
      <c r="N13" s="471"/>
      <c r="O13" s="71"/>
      <c r="P13" s="95" t="str">
        <f t="shared" ref="P13:P19" si="3">IF(O13="","",IF(O13="Yes","Pass",IF(O13="No","Fail","N/A")))</f>
        <v/>
      </c>
      <c r="Q13" s="173"/>
      <c r="R13" s="173"/>
      <c r="S13" s="173"/>
      <c r="T13" s="124"/>
      <c r="U13" s="124"/>
      <c r="V13" s="124"/>
      <c r="W13" s="125"/>
      <c r="X13" s="131"/>
      <c r="Y13" s="124"/>
      <c r="Z13" s="127"/>
      <c r="AA13" s="128"/>
      <c r="AB13" s="129"/>
      <c r="AC13" s="129"/>
    </row>
    <row r="14" spans="1:32" ht="30" customHeight="1" x14ac:dyDescent="0.2">
      <c r="A14" s="107" t="s">
        <v>70</v>
      </c>
      <c r="B14" s="93"/>
      <c r="C14" s="97" t="s">
        <v>209</v>
      </c>
      <c r="D14" s="567" t="s">
        <v>530</v>
      </c>
      <c r="E14" s="586"/>
      <c r="F14" s="586"/>
      <c r="G14" s="586"/>
      <c r="H14" s="586"/>
      <c r="I14" s="586"/>
      <c r="J14" s="586"/>
      <c r="K14" s="586"/>
      <c r="L14" s="586"/>
      <c r="M14" s="586"/>
      <c r="N14" s="587"/>
      <c r="O14" s="71"/>
      <c r="P14" s="95" t="str">
        <f t="shared" si="3"/>
        <v/>
      </c>
      <c r="Q14" s="173"/>
      <c r="R14" s="173"/>
      <c r="S14" s="173"/>
      <c r="T14" s="124"/>
      <c r="U14" s="124"/>
      <c r="V14" s="124"/>
      <c r="W14" s="125"/>
      <c r="X14" s="131"/>
      <c r="Y14" s="124"/>
      <c r="Z14" s="127"/>
      <c r="AA14" s="128"/>
      <c r="AB14" s="129"/>
      <c r="AC14" s="129"/>
    </row>
    <row r="15" spans="1:32" ht="52.5" customHeight="1" x14ac:dyDescent="0.2">
      <c r="A15" s="107">
        <v>1</v>
      </c>
      <c r="B15" s="93"/>
      <c r="C15" s="94" t="s">
        <v>210</v>
      </c>
      <c r="D15" s="567" t="s">
        <v>531</v>
      </c>
      <c r="E15" s="586"/>
      <c r="F15" s="586"/>
      <c r="G15" s="586"/>
      <c r="H15" s="586"/>
      <c r="I15" s="586"/>
      <c r="J15" s="586"/>
      <c r="K15" s="586"/>
      <c r="L15" s="586"/>
      <c r="M15" s="586"/>
      <c r="N15" s="587"/>
      <c r="O15" s="71"/>
      <c r="P15" s="95" t="str">
        <f t="shared" si="3"/>
        <v/>
      </c>
      <c r="Q15" s="173"/>
      <c r="R15" s="173"/>
      <c r="S15" s="173"/>
      <c r="T15" s="124"/>
      <c r="U15" s="124"/>
      <c r="V15" s="124"/>
      <c r="W15" s="125"/>
      <c r="X15" s="131"/>
      <c r="Y15" s="124"/>
      <c r="Z15" s="127"/>
      <c r="AA15" s="128"/>
      <c r="AB15" s="129"/>
      <c r="AC15" s="129"/>
    </row>
    <row r="16" spans="1:32" ht="58.5" customHeight="1" x14ac:dyDescent="0.2">
      <c r="A16" s="106">
        <v>1</v>
      </c>
      <c r="C16" s="97" t="s">
        <v>211</v>
      </c>
      <c r="D16" s="567" t="s">
        <v>532</v>
      </c>
      <c r="E16" s="586"/>
      <c r="F16" s="586"/>
      <c r="G16" s="586"/>
      <c r="H16" s="586"/>
      <c r="I16" s="586"/>
      <c r="J16" s="586"/>
      <c r="K16" s="586"/>
      <c r="L16" s="586"/>
      <c r="M16" s="586"/>
      <c r="N16" s="587"/>
      <c r="O16" s="71"/>
      <c r="P16" s="95" t="str">
        <f t="shared" si="3"/>
        <v/>
      </c>
      <c r="Q16" s="173"/>
      <c r="R16" s="173"/>
      <c r="S16" s="173"/>
      <c r="T16" s="124"/>
      <c r="U16" s="124"/>
      <c r="V16" s="124"/>
      <c r="W16" s="125"/>
      <c r="X16" s="131"/>
      <c r="Y16" s="124"/>
      <c r="Z16" s="127"/>
      <c r="AA16" s="128"/>
      <c r="AB16" s="129"/>
      <c r="AC16" s="129"/>
    </row>
    <row r="17" spans="1:29" ht="36.75" customHeight="1" x14ac:dyDescent="0.2">
      <c r="A17" s="107" t="s">
        <v>70</v>
      </c>
      <c r="B17" s="93"/>
      <c r="C17" s="97" t="s">
        <v>212</v>
      </c>
      <c r="D17" s="567" t="s">
        <v>533</v>
      </c>
      <c r="E17" s="586"/>
      <c r="F17" s="586"/>
      <c r="G17" s="586"/>
      <c r="H17" s="586"/>
      <c r="I17" s="586"/>
      <c r="J17" s="586"/>
      <c r="K17" s="586"/>
      <c r="L17" s="586"/>
      <c r="M17" s="586"/>
      <c r="N17" s="587"/>
      <c r="O17" s="71"/>
      <c r="P17" s="95" t="str">
        <f t="shared" si="3"/>
        <v/>
      </c>
      <c r="Q17" s="173"/>
      <c r="R17" s="173"/>
      <c r="S17" s="173"/>
      <c r="T17" s="124"/>
      <c r="U17" s="124"/>
      <c r="V17" s="124"/>
      <c r="W17" s="125"/>
      <c r="X17" s="131"/>
      <c r="Y17" s="124"/>
      <c r="Z17" s="127"/>
      <c r="AA17" s="128"/>
      <c r="AB17" s="129"/>
      <c r="AC17" s="129"/>
    </row>
    <row r="18" spans="1:29" ht="30" customHeight="1" x14ac:dyDescent="0.2">
      <c r="A18" s="107" t="s">
        <v>70</v>
      </c>
      <c r="B18" s="93"/>
      <c r="C18" s="94" t="s">
        <v>657</v>
      </c>
      <c r="D18" s="567" t="s">
        <v>534</v>
      </c>
      <c r="E18" s="586"/>
      <c r="F18" s="586"/>
      <c r="G18" s="586"/>
      <c r="H18" s="586"/>
      <c r="I18" s="586"/>
      <c r="J18" s="586"/>
      <c r="K18" s="586"/>
      <c r="L18" s="586"/>
      <c r="M18" s="586"/>
      <c r="N18" s="587"/>
      <c r="O18" s="71"/>
      <c r="P18" s="95" t="str">
        <f t="shared" si="3"/>
        <v/>
      </c>
      <c r="Q18" s="173"/>
      <c r="R18" s="173"/>
      <c r="S18" s="173"/>
      <c r="T18" s="124"/>
      <c r="U18" s="124"/>
      <c r="V18" s="124"/>
      <c r="W18" s="125"/>
      <c r="X18" s="131"/>
      <c r="Y18" s="124"/>
      <c r="Z18" s="127"/>
      <c r="AA18" s="128"/>
      <c r="AB18" s="129"/>
      <c r="AC18" s="129"/>
    </row>
    <row r="19" spans="1:29" ht="49.5" customHeight="1" x14ac:dyDescent="0.2">
      <c r="A19" s="107" t="s">
        <v>81</v>
      </c>
      <c r="B19" s="93"/>
      <c r="C19" s="391" t="s">
        <v>213</v>
      </c>
      <c r="D19" s="571" t="s">
        <v>535</v>
      </c>
      <c r="E19" s="572"/>
      <c r="F19" s="572"/>
      <c r="G19" s="572"/>
      <c r="H19" s="572"/>
      <c r="I19" s="572"/>
      <c r="J19" s="572"/>
      <c r="K19" s="572"/>
      <c r="L19" s="572"/>
      <c r="M19" s="572"/>
      <c r="N19" s="572"/>
      <c r="O19" s="71"/>
      <c r="P19" s="95" t="str">
        <f t="shared" si="3"/>
        <v/>
      </c>
      <c r="Q19" s="173"/>
      <c r="R19" s="173"/>
      <c r="S19" s="173"/>
      <c r="T19" s="124"/>
      <c r="U19" s="124"/>
      <c r="V19" s="124"/>
      <c r="W19" s="125"/>
      <c r="X19" s="131"/>
      <c r="Y19" s="124"/>
      <c r="Z19" s="127"/>
      <c r="AA19" s="128"/>
      <c r="AB19" s="129"/>
      <c r="AC19" s="129"/>
    </row>
    <row r="20" spans="1:29" ht="24" customHeight="1" x14ac:dyDescent="0.2">
      <c r="A20" s="106">
        <v>1</v>
      </c>
      <c r="B20" s="93"/>
      <c r="C20" s="575" t="s">
        <v>267</v>
      </c>
      <c r="D20" s="470"/>
      <c r="E20" s="470"/>
      <c r="F20" s="470"/>
      <c r="G20" s="470"/>
      <c r="H20" s="470"/>
      <c r="I20" s="470"/>
      <c r="J20" s="470"/>
      <c r="K20" s="470"/>
      <c r="L20" s="470"/>
      <c r="M20" s="470"/>
      <c r="N20" s="470"/>
      <c r="O20"/>
      <c r="P20" s="392"/>
      <c r="Q20" s="174"/>
      <c r="R20" s="174"/>
      <c r="S20" s="174"/>
      <c r="T20" s="124"/>
      <c r="U20" s="124"/>
      <c r="V20" s="124"/>
      <c r="W20" s="125"/>
      <c r="X20" s="131"/>
      <c r="Y20" s="124"/>
      <c r="Z20" s="127"/>
      <c r="AA20" s="128"/>
      <c r="AB20" s="129"/>
      <c r="AC20" s="129"/>
    </row>
    <row r="21" spans="1:29" ht="30.75" customHeight="1" x14ac:dyDescent="0.2">
      <c r="A21" s="107" t="s">
        <v>73</v>
      </c>
      <c r="C21" s="581" t="s">
        <v>17</v>
      </c>
      <c r="D21" s="470"/>
      <c r="E21" s="470"/>
      <c r="F21" s="470"/>
      <c r="G21" s="470"/>
      <c r="H21" s="470"/>
      <c r="I21" s="470"/>
      <c r="J21" s="470"/>
      <c r="K21" s="470"/>
      <c r="L21" s="470"/>
      <c r="M21" s="470"/>
      <c r="N21" s="471"/>
      <c r="O21" s="345"/>
      <c r="P21" s="343"/>
      <c r="Q21" s="172"/>
      <c r="R21" s="172"/>
      <c r="S21" s="172"/>
      <c r="T21" s="124"/>
      <c r="U21" s="124"/>
      <c r="V21" s="124"/>
      <c r="W21" s="125"/>
      <c r="X21" s="131"/>
      <c r="Y21" s="124"/>
      <c r="Z21" s="132"/>
      <c r="AA21" s="128"/>
      <c r="AB21" s="129"/>
      <c r="AC21" s="129"/>
    </row>
    <row r="22" spans="1:29" ht="15.75" x14ac:dyDescent="0.25">
      <c r="C22" s="100" t="s">
        <v>264</v>
      </c>
      <c r="D22" s="573" t="s">
        <v>71</v>
      </c>
      <c r="E22" s="574"/>
      <c r="F22" s="574"/>
      <c r="G22" s="574"/>
      <c r="H22" s="574"/>
      <c r="I22" s="574"/>
      <c r="J22" s="574"/>
      <c r="K22" s="574"/>
      <c r="L22" s="574"/>
      <c r="M22" s="574"/>
      <c r="N22" s="440"/>
      <c r="O22" s="101" t="s">
        <v>265</v>
      </c>
      <c r="P22" s="101" t="s">
        <v>266</v>
      </c>
      <c r="Q22" s="359"/>
      <c r="R22" s="359"/>
      <c r="S22" s="359"/>
      <c r="T22" s="124"/>
      <c r="U22" s="124"/>
      <c r="V22" s="124"/>
      <c r="W22" s="125"/>
      <c r="X22" s="131"/>
      <c r="Y22" s="124"/>
      <c r="Z22" s="127"/>
      <c r="AA22" s="128"/>
      <c r="AB22" s="129"/>
      <c r="AC22" s="129"/>
    </row>
    <row r="23" spans="1:29" ht="18" x14ac:dyDescent="0.2">
      <c r="A23" s="106">
        <v>1</v>
      </c>
      <c r="C23" s="102" t="s">
        <v>215</v>
      </c>
      <c r="D23" s="567" t="s">
        <v>268</v>
      </c>
      <c r="E23" s="470"/>
      <c r="F23" s="470"/>
      <c r="G23" s="470"/>
      <c r="H23" s="470"/>
      <c r="I23" s="470"/>
      <c r="J23" s="470"/>
      <c r="K23" s="470"/>
      <c r="L23" s="470"/>
      <c r="M23" s="470"/>
      <c r="N23" s="471"/>
      <c r="O23" s="71"/>
      <c r="P23" s="95" t="str">
        <f>IF(O23="","",IF(O23="Yes","Pass",IF(O23="No","Fail","N/A")))</f>
        <v/>
      </c>
      <c r="Q23" s="173"/>
      <c r="R23" s="173"/>
      <c r="S23" s="173"/>
      <c r="T23" s="124"/>
      <c r="U23" s="124"/>
      <c r="V23" s="124"/>
      <c r="W23" s="125"/>
      <c r="X23" s="131"/>
      <c r="Y23" s="124"/>
      <c r="Z23" s="127"/>
      <c r="AA23" s="128"/>
      <c r="AB23" s="129"/>
      <c r="AC23" s="129"/>
    </row>
    <row r="24" spans="1:29" ht="45" x14ac:dyDescent="0.2">
      <c r="A24" s="107" t="s">
        <v>69</v>
      </c>
      <c r="C24" s="97" t="s">
        <v>216</v>
      </c>
      <c r="D24" s="567" t="s">
        <v>269</v>
      </c>
      <c r="E24" s="470"/>
      <c r="F24" s="470"/>
      <c r="G24" s="470"/>
      <c r="H24" s="470"/>
      <c r="I24" s="470"/>
      <c r="J24" s="470"/>
      <c r="K24" s="470"/>
      <c r="L24" s="470"/>
      <c r="M24" s="470"/>
      <c r="N24" s="471"/>
      <c r="O24" s="71"/>
      <c r="P24" s="95" t="str">
        <f>IF(O24="","",IF(O24="Yes","Pass",IF(O24="No","Fail","N/A")))</f>
        <v/>
      </c>
      <c r="Q24" s="173"/>
      <c r="R24" s="173"/>
      <c r="S24" s="173"/>
      <c r="T24" s="124"/>
      <c r="U24" s="124"/>
      <c r="V24" s="124"/>
      <c r="W24" s="125"/>
      <c r="X24" s="131"/>
      <c r="Y24" s="124"/>
      <c r="Z24" s="127"/>
      <c r="AA24" s="128"/>
      <c r="AB24" s="129"/>
      <c r="AC24" s="129"/>
    </row>
    <row r="25" spans="1:29" ht="45" x14ac:dyDescent="0.2">
      <c r="A25" s="107" t="s">
        <v>69</v>
      </c>
      <c r="B25" s="93"/>
      <c r="C25" s="97" t="s">
        <v>217</v>
      </c>
      <c r="D25" s="567" t="s">
        <v>270</v>
      </c>
      <c r="E25" s="470"/>
      <c r="F25" s="470"/>
      <c r="G25" s="470"/>
      <c r="H25" s="470"/>
      <c r="I25" s="470"/>
      <c r="J25" s="470"/>
      <c r="K25" s="470"/>
      <c r="L25" s="470"/>
      <c r="M25" s="470"/>
      <c r="N25" s="471"/>
      <c r="O25" s="71"/>
      <c r="P25" s="95" t="str">
        <f>IF(O25="","",IF(O25="Yes","Pass",IF(O25="No","Fail","N/A")))</f>
        <v/>
      </c>
      <c r="Q25" s="173"/>
      <c r="R25" s="173"/>
      <c r="S25" s="173"/>
      <c r="T25" s="124"/>
      <c r="U25" s="124"/>
      <c r="V25" s="124"/>
      <c r="W25" s="125"/>
      <c r="X25" s="131"/>
      <c r="Y25" s="124"/>
      <c r="Z25" s="127"/>
      <c r="AA25" s="128"/>
      <c r="AB25" s="129"/>
      <c r="AC25" s="129"/>
    </row>
    <row r="26" spans="1:29" ht="51.75" customHeight="1" x14ac:dyDescent="0.2">
      <c r="A26" s="107" t="s">
        <v>69</v>
      </c>
      <c r="B26" s="93"/>
      <c r="C26" s="97" t="s">
        <v>218</v>
      </c>
      <c r="D26" s="567" t="s">
        <v>271</v>
      </c>
      <c r="E26" s="470"/>
      <c r="F26" s="470"/>
      <c r="G26" s="470"/>
      <c r="H26" s="470"/>
      <c r="I26" s="470"/>
      <c r="J26" s="470"/>
      <c r="K26" s="470"/>
      <c r="L26" s="470"/>
      <c r="M26" s="470"/>
      <c r="N26" s="470"/>
      <c r="O26" s="71"/>
      <c r="P26" s="95" t="str">
        <f>IF(O26="","",IF(O26="Yes","Pass",IF(O26="No","Fail","N/A")))</f>
        <v/>
      </c>
      <c r="Q26" s="173"/>
      <c r="R26" s="173"/>
      <c r="S26" s="173"/>
      <c r="T26" s="124"/>
      <c r="U26" s="124"/>
      <c r="V26" s="124"/>
      <c r="W26" s="125"/>
      <c r="X26" s="131"/>
      <c r="Y26" s="124"/>
      <c r="Z26" s="127"/>
      <c r="AA26" s="128"/>
      <c r="AB26" s="129"/>
      <c r="AC26" s="129"/>
    </row>
    <row r="27" spans="1:29" ht="20.25" customHeight="1" x14ac:dyDescent="0.2">
      <c r="A27" s="106">
        <v>1</v>
      </c>
      <c r="B27" s="93"/>
      <c r="C27" s="580" t="s">
        <v>272</v>
      </c>
      <c r="D27" s="470"/>
      <c r="E27" s="470"/>
      <c r="F27" s="470"/>
      <c r="G27" s="470"/>
      <c r="H27" s="470"/>
      <c r="I27" s="470"/>
      <c r="J27" s="470"/>
      <c r="K27" s="470"/>
      <c r="L27" s="470"/>
      <c r="M27" s="470"/>
      <c r="N27" s="470"/>
      <c r="O27" s="341"/>
      <c r="Q27" s="123"/>
      <c r="R27" s="123"/>
      <c r="S27" s="123"/>
      <c r="T27" s="124"/>
      <c r="U27" s="124"/>
      <c r="V27" s="124"/>
      <c r="W27" s="125"/>
      <c r="X27" s="131"/>
      <c r="Y27" s="124"/>
      <c r="Z27" s="127"/>
      <c r="AA27" s="128"/>
      <c r="AB27" s="129"/>
      <c r="AC27" s="129"/>
    </row>
    <row r="28" spans="1:29" ht="29.25" customHeight="1" x14ac:dyDescent="0.2">
      <c r="A28" s="107" t="s">
        <v>73</v>
      </c>
      <c r="C28" s="581" t="s">
        <v>17</v>
      </c>
      <c r="D28" s="470"/>
      <c r="E28" s="470"/>
      <c r="F28" s="470"/>
      <c r="G28" s="470"/>
      <c r="H28" s="470"/>
      <c r="I28" s="470"/>
      <c r="J28" s="470"/>
      <c r="K28" s="470"/>
      <c r="L28" s="470"/>
      <c r="M28" s="470"/>
      <c r="N28" s="470"/>
      <c r="O28" s="345"/>
      <c r="P28" s="340"/>
      <c r="Q28" s="123"/>
      <c r="R28" s="123"/>
      <c r="S28" s="123"/>
      <c r="T28" s="124"/>
      <c r="U28" s="124"/>
      <c r="V28" s="124"/>
      <c r="W28" s="125"/>
      <c r="X28" s="131"/>
      <c r="Y28" s="133"/>
      <c r="Z28" s="132"/>
      <c r="AA28" s="128"/>
      <c r="AB28" s="129"/>
      <c r="AC28" s="129"/>
    </row>
    <row r="29" spans="1:29" ht="21.75" customHeight="1" x14ac:dyDescent="0.25">
      <c r="C29" s="100" t="s">
        <v>264</v>
      </c>
      <c r="D29" s="573" t="s">
        <v>465</v>
      </c>
      <c r="E29" s="574"/>
      <c r="F29" s="574"/>
      <c r="G29" s="574"/>
      <c r="H29" s="574"/>
      <c r="I29" s="574"/>
      <c r="J29" s="574"/>
      <c r="K29" s="574"/>
      <c r="L29" s="574"/>
      <c r="M29" s="574"/>
      <c r="N29" s="574"/>
      <c r="O29" s="101" t="s">
        <v>265</v>
      </c>
      <c r="P29" s="101" t="s">
        <v>266</v>
      </c>
      <c r="Q29" s="359"/>
      <c r="R29" s="359"/>
      <c r="S29" s="359"/>
      <c r="T29" s="124"/>
      <c r="U29" s="124"/>
      <c r="V29" s="124"/>
      <c r="W29" s="125"/>
      <c r="X29" s="131"/>
      <c r="Y29" s="133"/>
      <c r="Z29" s="132"/>
      <c r="AA29" s="128"/>
      <c r="AB29" s="129"/>
      <c r="AC29" s="129"/>
    </row>
    <row r="30" spans="1:29" ht="42" customHeight="1" x14ac:dyDescent="0.2">
      <c r="A30" s="107" t="s">
        <v>69</v>
      </c>
      <c r="C30" s="102" t="s">
        <v>466</v>
      </c>
      <c r="D30" s="567" t="s">
        <v>467</v>
      </c>
      <c r="E30" s="572"/>
      <c r="F30" s="572"/>
      <c r="G30" s="572"/>
      <c r="H30" s="572"/>
      <c r="I30" s="572"/>
      <c r="J30" s="572"/>
      <c r="K30" s="572"/>
      <c r="L30" s="572"/>
      <c r="M30" s="572"/>
      <c r="N30" s="572"/>
      <c r="O30" s="71"/>
      <c r="P30" s="95" t="str">
        <f t="shared" ref="P30:P31" si="4">IF(O30="","",IF(O30="Yes","Pass",IF(O30="No","Fail","N/A")))</f>
        <v/>
      </c>
      <c r="Q30" s="173"/>
      <c r="R30" s="173"/>
      <c r="S30" s="173"/>
      <c r="T30" s="124"/>
      <c r="U30" s="124"/>
      <c r="V30" s="124"/>
      <c r="W30" s="125"/>
      <c r="X30" s="131"/>
      <c r="Y30" s="133"/>
      <c r="Z30" s="132"/>
      <c r="AA30" s="128"/>
      <c r="AB30" s="129"/>
      <c r="AC30" s="129"/>
    </row>
    <row r="31" spans="1:29" ht="39" customHeight="1" x14ac:dyDescent="0.2">
      <c r="A31" s="107" t="s">
        <v>73</v>
      </c>
      <c r="B31" s="93"/>
      <c r="C31" s="102" t="s">
        <v>471</v>
      </c>
      <c r="D31" s="579" t="s">
        <v>468</v>
      </c>
      <c r="E31" s="572"/>
      <c r="F31" s="572"/>
      <c r="G31" s="572"/>
      <c r="H31" s="572"/>
      <c r="I31" s="572"/>
      <c r="J31" s="572"/>
      <c r="K31" s="572"/>
      <c r="L31" s="572"/>
      <c r="M31" s="572"/>
      <c r="N31" s="572"/>
      <c r="O31" s="71"/>
      <c r="P31" s="95" t="str">
        <f t="shared" si="4"/>
        <v/>
      </c>
      <c r="Q31" s="173"/>
      <c r="R31" s="173"/>
      <c r="S31" s="173"/>
      <c r="T31" s="124"/>
      <c r="U31" s="124"/>
      <c r="V31" s="124"/>
      <c r="W31" s="125"/>
      <c r="X31" s="131"/>
      <c r="Y31" s="133"/>
      <c r="Z31" s="132"/>
      <c r="AA31" s="128"/>
      <c r="AB31" s="129"/>
      <c r="AC31" s="129"/>
    </row>
    <row r="32" spans="1:29" ht="45" x14ac:dyDescent="0.2">
      <c r="A32" s="107" t="s">
        <v>69</v>
      </c>
      <c r="B32" s="93"/>
      <c r="C32" s="102" t="s">
        <v>472</v>
      </c>
      <c r="D32" s="579" t="s">
        <v>469</v>
      </c>
      <c r="E32" s="572"/>
      <c r="F32" s="572"/>
      <c r="G32" s="572"/>
      <c r="H32" s="572"/>
      <c r="I32" s="572"/>
      <c r="J32" s="572"/>
      <c r="K32" s="572"/>
      <c r="L32" s="572"/>
      <c r="M32" s="572"/>
      <c r="N32" s="572"/>
      <c r="O32" s="71"/>
      <c r="P32" s="95" t="str">
        <f>IF(O32="","",IF(O32="Yes","Pass",IF(O32="No","Fail","N/A")))</f>
        <v/>
      </c>
      <c r="Q32" s="173"/>
      <c r="R32" s="173"/>
      <c r="S32" s="173"/>
      <c r="T32" s="124"/>
      <c r="U32" s="124"/>
      <c r="V32" s="124"/>
      <c r="W32" s="125"/>
      <c r="X32" s="131"/>
      <c r="Y32" s="133"/>
      <c r="Z32" s="132"/>
      <c r="AA32" s="128"/>
      <c r="AB32" s="129"/>
      <c r="AC32" s="129"/>
    </row>
    <row r="33" spans="1:29" ht="30" customHeight="1" x14ac:dyDescent="0.2">
      <c r="A33" s="107" t="s">
        <v>70</v>
      </c>
      <c r="B33" s="93"/>
      <c r="C33" s="102" t="s">
        <v>473</v>
      </c>
      <c r="D33" s="579" t="s">
        <v>470</v>
      </c>
      <c r="E33" s="572"/>
      <c r="F33" s="572"/>
      <c r="G33" s="572"/>
      <c r="H33" s="572"/>
      <c r="I33" s="572"/>
      <c r="J33" s="572"/>
      <c r="K33" s="572"/>
      <c r="L33" s="572"/>
      <c r="M33" s="572"/>
      <c r="N33" s="572"/>
      <c r="O33" s="71"/>
      <c r="P33" s="95" t="str">
        <f>IF(O33="","",IF(O33="Yes","Pass",IF(O33="No","Fail","N/A")))</f>
        <v/>
      </c>
      <c r="Q33" s="173"/>
      <c r="R33" s="173"/>
      <c r="S33" s="173"/>
      <c r="T33" s="124"/>
      <c r="U33" s="124"/>
      <c r="V33" s="124"/>
      <c r="W33" s="125"/>
      <c r="X33" s="131"/>
      <c r="Y33" s="133"/>
      <c r="Z33" s="132"/>
      <c r="AA33" s="128"/>
      <c r="AB33" s="129"/>
      <c r="AC33" s="129"/>
    </row>
    <row r="34" spans="1:29" ht="21" customHeight="1" x14ac:dyDescent="0.2">
      <c r="A34" s="107" t="s">
        <v>69</v>
      </c>
      <c r="B34" s="93"/>
      <c r="C34" s="580" t="s">
        <v>545</v>
      </c>
      <c r="D34" s="470"/>
      <c r="E34" s="470"/>
      <c r="F34" s="470"/>
      <c r="G34" s="470"/>
      <c r="H34" s="470"/>
      <c r="I34" s="470"/>
      <c r="J34" s="470"/>
      <c r="K34" s="470"/>
      <c r="L34" s="470"/>
      <c r="M34" s="470"/>
      <c r="N34" s="470"/>
      <c r="O34" s="341"/>
      <c r="Q34" s="359"/>
      <c r="T34" s="124"/>
      <c r="U34" s="124"/>
      <c r="V34" s="124"/>
      <c r="W34" s="125"/>
      <c r="X34" s="131"/>
      <c r="Y34" s="133"/>
      <c r="Z34" s="132"/>
      <c r="AA34" s="128"/>
      <c r="AB34" s="129"/>
      <c r="AC34" s="129"/>
    </row>
    <row r="35" spans="1:29" ht="27.75" customHeight="1" x14ac:dyDescent="0.2">
      <c r="A35" s="107" t="s">
        <v>69</v>
      </c>
      <c r="B35" s="93"/>
      <c r="C35" s="581" t="s">
        <v>17</v>
      </c>
      <c r="D35" s="470"/>
      <c r="E35" s="470"/>
      <c r="F35" s="470"/>
      <c r="G35" s="470"/>
      <c r="H35" s="470"/>
      <c r="I35" s="470"/>
      <c r="J35" s="470"/>
      <c r="K35" s="470"/>
      <c r="L35" s="470"/>
      <c r="M35" s="470"/>
      <c r="N35" s="470"/>
      <c r="O35" s="345"/>
      <c r="Q35" s="173"/>
      <c r="R35"/>
      <c r="S35"/>
      <c r="V35"/>
      <c r="W35"/>
      <c r="X35"/>
      <c r="Y35"/>
      <c r="Z35"/>
      <c r="AA35"/>
      <c r="AB35"/>
      <c r="AC35"/>
    </row>
    <row r="36" spans="1:29" ht="22.5" customHeight="1" x14ac:dyDescent="0.25">
      <c r="A36" s="107" t="s">
        <v>70</v>
      </c>
      <c r="B36" s="93"/>
      <c r="C36" s="100" t="s">
        <v>264</v>
      </c>
      <c r="D36" s="573" t="s">
        <v>72</v>
      </c>
      <c r="E36" s="574"/>
      <c r="F36" s="574"/>
      <c r="G36" s="574"/>
      <c r="H36" s="574"/>
      <c r="I36" s="574"/>
      <c r="J36" s="574"/>
      <c r="K36" s="574"/>
      <c r="L36" s="574"/>
      <c r="M36" s="574"/>
      <c r="N36" s="440"/>
      <c r="O36" s="101" t="s">
        <v>265</v>
      </c>
      <c r="P36" s="101" t="s">
        <v>266</v>
      </c>
      <c r="Q36" s="173"/>
      <c r="R36"/>
      <c r="S36"/>
      <c r="V36"/>
      <c r="W36"/>
      <c r="X36"/>
      <c r="Y36"/>
      <c r="Z36"/>
      <c r="AA36"/>
      <c r="AB36"/>
      <c r="AC36"/>
    </row>
    <row r="37" spans="1:29" ht="31.5" customHeight="1" x14ac:dyDescent="0.2">
      <c r="A37" s="107" t="s">
        <v>73</v>
      </c>
      <c r="B37" s="93"/>
      <c r="C37" s="103" t="s">
        <v>220</v>
      </c>
      <c r="D37" s="445" t="s">
        <v>544</v>
      </c>
      <c r="E37" s="568"/>
      <c r="F37" s="568"/>
      <c r="G37" s="568"/>
      <c r="H37" s="568"/>
      <c r="I37" s="568"/>
      <c r="J37" s="568"/>
      <c r="K37" s="568"/>
      <c r="L37" s="568"/>
      <c r="M37" s="568"/>
      <c r="N37" s="569"/>
      <c r="O37" s="71"/>
      <c r="P37" s="95" t="str">
        <f>IF(O37="","",IF(O37="Yes","Pass",IF(O37="No","Fail","N/A")))</f>
        <v/>
      </c>
      <c r="Q37" s="173"/>
      <c r="R37"/>
      <c r="S37"/>
      <c r="V37"/>
      <c r="W37"/>
      <c r="X37"/>
      <c r="Y37"/>
      <c r="Z37"/>
      <c r="AA37"/>
      <c r="AB37"/>
      <c r="AC37"/>
    </row>
    <row r="38" spans="1:29" ht="30" customHeight="1" x14ac:dyDescent="0.2">
      <c r="A38" s="107" t="s">
        <v>70</v>
      </c>
      <c r="B38" s="93"/>
      <c r="C38" s="185"/>
      <c r="D38" s="296" t="s">
        <v>351</v>
      </c>
      <c r="E38" s="297"/>
      <c r="F38" s="298"/>
      <c r="G38" s="299"/>
      <c r="I38" s="300" t="s">
        <v>352</v>
      </c>
      <c r="J38" s="299"/>
      <c r="K38" s="301" t="s">
        <v>353</v>
      </c>
      <c r="L38" s="191"/>
      <c r="M38" s="302"/>
      <c r="N38" s="303" t="e">
        <f>J38/G38</f>
        <v>#DIV/0!</v>
      </c>
      <c r="Q38" s="173"/>
      <c r="R38"/>
      <c r="S38"/>
      <c r="V38"/>
      <c r="W38"/>
      <c r="X38"/>
      <c r="Y38"/>
      <c r="Z38"/>
      <c r="AA38"/>
      <c r="AB38"/>
      <c r="AC38"/>
    </row>
    <row r="39" spans="1:29" ht="38.25" customHeight="1" x14ac:dyDescent="0.2">
      <c r="A39" s="107" t="s">
        <v>73</v>
      </c>
      <c r="B39" s="93"/>
      <c r="C39" s="97" t="s">
        <v>133</v>
      </c>
      <c r="D39" s="579" t="s">
        <v>645</v>
      </c>
      <c r="E39" s="572"/>
      <c r="F39" s="572"/>
      <c r="G39" s="572"/>
      <c r="H39" s="572"/>
      <c r="I39" s="572"/>
      <c r="J39" s="572"/>
      <c r="K39" s="572"/>
      <c r="L39" s="572"/>
      <c r="M39" s="572"/>
      <c r="N39" s="572"/>
      <c r="O39" s="71"/>
      <c r="P39" s="95" t="str">
        <f t="shared" ref="P39:P49" si="5">IF(O39="","",IF(O39="Yes","Pass",IF(O39="No","Fail","N/A")))</f>
        <v/>
      </c>
      <c r="Q39" s="173"/>
      <c r="R39"/>
      <c r="S39"/>
      <c r="V39"/>
      <c r="W39"/>
      <c r="X39"/>
      <c r="Y39"/>
      <c r="Z39"/>
      <c r="AA39"/>
      <c r="AB39"/>
      <c r="AC39"/>
    </row>
    <row r="40" spans="1:29" ht="30" customHeight="1" x14ac:dyDescent="0.2">
      <c r="A40" s="107" t="s">
        <v>70</v>
      </c>
      <c r="B40" s="93"/>
      <c r="C40" s="97" t="s">
        <v>221</v>
      </c>
      <c r="D40" s="579" t="s">
        <v>536</v>
      </c>
      <c r="E40" s="470"/>
      <c r="F40" s="470"/>
      <c r="G40" s="470"/>
      <c r="H40" s="470"/>
      <c r="I40" s="470"/>
      <c r="J40" s="470"/>
      <c r="K40" s="470"/>
      <c r="L40" s="470"/>
      <c r="M40" s="470"/>
      <c r="N40" s="470"/>
      <c r="O40" s="71"/>
      <c r="P40" s="95" t="str">
        <f t="shared" si="5"/>
        <v/>
      </c>
      <c r="Q40" s="173"/>
      <c r="R40"/>
      <c r="S40"/>
      <c r="V40"/>
      <c r="W40"/>
      <c r="X40"/>
      <c r="Y40"/>
      <c r="Z40"/>
      <c r="AA40"/>
      <c r="AB40"/>
      <c r="AC40"/>
    </row>
    <row r="41" spans="1:29" ht="41.25" customHeight="1" x14ac:dyDescent="0.2">
      <c r="A41" s="107">
        <v>1</v>
      </c>
      <c r="B41" s="93"/>
      <c r="C41" s="103" t="s">
        <v>222</v>
      </c>
      <c r="D41" s="445" t="s">
        <v>537</v>
      </c>
      <c r="E41" s="568"/>
      <c r="F41" s="568"/>
      <c r="G41" s="568"/>
      <c r="H41" s="568"/>
      <c r="I41" s="568"/>
      <c r="J41" s="568"/>
      <c r="K41" s="568"/>
      <c r="L41" s="568"/>
      <c r="M41" s="568"/>
      <c r="N41" s="569"/>
      <c r="O41" s="71"/>
      <c r="P41" s="95" t="str">
        <f t="shared" si="5"/>
        <v/>
      </c>
      <c r="Q41" s="173"/>
      <c r="R41"/>
      <c r="S41"/>
      <c r="V41"/>
      <c r="W41"/>
      <c r="X41"/>
      <c r="Y41"/>
      <c r="Z41"/>
      <c r="AA41"/>
      <c r="AB41"/>
      <c r="AC41"/>
    </row>
    <row r="42" spans="1:29" ht="34.5" customHeight="1" x14ac:dyDescent="0.2">
      <c r="A42" s="107"/>
      <c r="B42" s="93"/>
      <c r="C42" s="97" t="s">
        <v>223</v>
      </c>
      <c r="D42" s="445" t="s">
        <v>538</v>
      </c>
      <c r="E42" s="568"/>
      <c r="F42" s="568"/>
      <c r="G42" s="568"/>
      <c r="H42" s="568"/>
      <c r="I42" s="568"/>
      <c r="J42" s="568"/>
      <c r="K42" s="568"/>
      <c r="L42" s="568"/>
      <c r="M42" s="568"/>
      <c r="N42" s="569"/>
      <c r="O42" s="71"/>
      <c r="P42" s="95" t="str">
        <f t="shared" si="5"/>
        <v/>
      </c>
      <c r="Q42" s="173"/>
      <c r="R42"/>
      <c r="S42"/>
      <c r="V42"/>
      <c r="W42"/>
      <c r="X42"/>
      <c r="Y42"/>
      <c r="Z42"/>
      <c r="AA42"/>
      <c r="AB42"/>
      <c r="AC42"/>
    </row>
    <row r="43" spans="1:29" ht="39" customHeight="1" x14ac:dyDescent="0.2">
      <c r="A43" s="106">
        <v>1</v>
      </c>
      <c r="B43" s="93"/>
      <c r="C43" s="97" t="s">
        <v>224</v>
      </c>
      <c r="D43" s="445" t="s">
        <v>273</v>
      </c>
      <c r="E43" s="568"/>
      <c r="F43" s="568"/>
      <c r="G43" s="568"/>
      <c r="H43" s="568"/>
      <c r="I43" s="568"/>
      <c r="J43" s="568"/>
      <c r="K43" s="568"/>
      <c r="L43" s="568"/>
      <c r="M43" s="568"/>
      <c r="N43" s="569"/>
      <c r="O43" s="71"/>
      <c r="P43" s="95" t="str">
        <f t="shared" si="5"/>
        <v/>
      </c>
      <c r="Q43" s="173"/>
      <c r="R43"/>
      <c r="S43"/>
      <c r="V43"/>
      <c r="W43"/>
      <c r="X43"/>
      <c r="Y43"/>
      <c r="Z43"/>
      <c r="AA43"/>
      <c r="AB43"/>
      <c r="AC43"/>
    </row>
    <row r="44" spans="1:29" ht="37.5" customHeight="1" x14ac:dyDescent="0.2">
      <c r="A44" s="107" t="s">
        <v>73</v>
      </c>
      <c r="C44" s="103" t="s">
        <v>225</v>
      </c>
      <c r="D44" s="567" t="s">
        <v>274</v>
      </c>
      <c r="E44" s="470"/>
      <c r="F44" s="470"/>
      <c r="G44" s="470"/>
      <c r="H44" s="470"/>
      <c r="I44" s="470"/>
      <c r="J44" s="470"/>
      <c r="K44" s="470"/>
      <c r="L44" s="470"/>
      <c r="M44" s="470"/>
      <c r="N44" s="470"/>
      <c r="O44" s="71"/>
      <c r="P44" s="95" t="str">
        <f t="shared" si="5"/>
        <v/>
      </c>
      <c r="Q44" s="173"/>
      <c r="R44"/>
      <c r="S44"/>
      <c r="V44"/>
      <c r="W44"/>
      <c r="X44"/>
      <c r="Y44"/>
      <c r="Z44"/>
      <c r="AA44"/>
      <c r="AB44"/>
      <c r="AC44"/>
    </row>
    <row r="45" spans="1:29" ht="35.25" customHeight="1" x14ac:dyDescent="0.2">
      <c r="B45" s="93"/>
      <c r="C45" s="97" t="s">
        <v>226</v>
      </c>
      <c r="D45" s="445" t="s">
        <v>275</v>
      </c>
      <c r="E45" s="568"/>
      <c r="F45" s="568"/>
      <c r="G45" s="568"/>
      <c r="H45" s="568"/>
      <c r="I45" s="568"/>
      <c r="J45" s="568"/>
      <c r="K45" s="568"/>
      <c r="L45" s="568"/>
      <c r="M45" s="568"/>
      <c r="N45" s="569"/>
      <c r="O45" s="71"/>
      <c r="P45" s="95" t="str">
        <f t="shared" si="5"/>
        <v/>
      </c>
      <c r="Q45" s="173"/>
      <c r="R45"/>
      <c r="S45"/>
      <c r="V45"/>
      <c r="W45"/>
      <c r="X45"/>
      <c r="Y45"/>
      <c r="Z45"/>
      <c r="AA45"/>
      <c r="AB45"/>
      <c r="AC45"/>
    </row>
    <row r="46" spans="1:29" ht="18" customHeight="1" x14ac:dyDescent="0.2">
      <c r="C46" s="97" t="s">
        <v>227</v>
      </c>
      <c r="D46" s="445" t="s">
        <v>276</v>
      </c>
      <c r="E46" s="570"/>
      <c r="F46" s="570"/>
      <c r="G46" s="570"/>
      <c r="H46" s="570"/>
      <c r="I46" s="570"/>
      <c r="J46" s="570"/>
      <c r="K46" s="570"/>
      <c r="L46" s="570"/>
      <c r="M46" s="570"/>
      <c r="N46" s="570"/>
      <c r="O46" s="71"/>
      <c r="P46" s="95" t="str">
        <f t="shared" si="5"/>
        <v/>
      </c>
      <c r="Q46" s="173"/>
      <c r="R46"/>
      <c r="S46"/>
      <c r="V46"/>
      <c r="W46"/>
      <c r="X46"/>
      <c r="Y46"/>
      <c r="Z46"/>
      <c r="AA46"/>
      <c r="AB46"/>
      <c r="AC46"/>
    </row>
    <row r="47" spans="1:29" ht="46.5" customHeight="1" x14ac:dyDescent="0.2">
      <c r="A47" s="106">
        <v>1</v>
      </c>
      <c r="C47" s="103" t="s">
        <v>228</v>
      </c>
      <c r="D47" s="445" t="s">
        <v>277</v>
      </c>
      <c r="E47" s="568"/>
      <c r="F47" s="568"/>
      <c r="G47" s="568"/>
      <c r="H47" s="568"/>
      <c r="I47" s="568"/>
      <c r="J47" s="568"/>
      <c r="K47" s="568"/>
      <c r="L47" s="568"/>
      <c r="M47" s="568"/>
      <c r="N47" s="569"/>
      <c r="O47" s="71"/>
      <c r="P47" s="95" t="str">
        <f t="shared" si="5"/>
        <v/>
      </c>
      <c r="R47"/>
      <c r="S47"/>
      <c r="V47"/>
      <c r="W47"/>
      <c r="X47"/>
      <c r="Y47"/>
      <c r="Z47"/>
      <c r="AA47"/>
      <c r="AB47"/>
      <c r="AC47"/>
    </row>
    <row r="48" spans="1:29" ht="57.75" customHeight="1" x14ac:dyDescent="0.2">
      <c r="A48" s="107" t="s">
        <v>69</v>
      </c>
      <c r="C48" s="97" t="s">
        <v>229</v>
      </c>
      <c r="D48" s="565" t="s">
        <v>539</v>
      </c>
      <c r="E48" s="566"/>
      <c r="F48" s="566"/>
      <c r="G48" s="566"/>
      <c r="H48" s="566"/>
      <c r="I48" s="566"/>
      <c r="J48" s="566"/>
      <c r="K48" s="566"/>
      <c r="L48" s="566"/>
      <c r="M48" s="566"/>
      <c r="N48" s="566"/>
      <c r="O48" s="71"/>
      <c r="P48" s="95" t="str">
        <f t="shared" si="5"/>
        <v/>
      </c>
      <c r="Q48" s="171"/>
      <c r="R48"/>
      <c r="S48"/>
      <c r="V48"/>
      <c r="W48"/>
      <c r="X48"/>
      <c r="Y48"/>
      <c r="Z48"/>
      <c r="AA48"/>
      <c r="AB48"/>
      <c r="AC48"/>
    </row>
    <row r="49" spans="1:29" ht="50.25" customHeight="1" x14ac:dyDescent="0.2">
      <c r="A49" s="106">
        <v>1</v>
      </c>
      <c r="B49" s="93"/>
      <c r="C49" s="97" t="s">
        <v>230</v>
      </c>
      <c r="D49" s="567" t="s">
        <v>540</v>
      </c>
      <c r="E49" s="470"/>
      <c r="F49" s="470"/>
      <c r="G49" s="470"/>
      <c r="H49" s="470"/>
      <c r="I49" s="470"/>
      <c r="J49" s="470"/>
      <c r="K49" s="470"/>
      <c r="L49" s="470"/>
      <c r="M49" s="470"/>
      <c r="N49" s="471"/>
      <c r="O49" s="71"/>
      <c r="P49" s="95" t="str">
        <f t="shared" si="5"/>
        <v/>
      </c>
      <c r="Q49" s="123"/>
      <c r="R49"/>
      <c r="S49"/>
      <c r="V49"/>
      <c r="W49"/>
      <c r="X49"/>
      <c r="Y49"/>
      <c r="Z49"/>
      <c r="AA49"/>
      <c r="AB49"/>
      <c r="AC49"/>
    </row>
    <row r="50" spans="1:29" ht="21.75" customHeight="1" x14ac:dyDescent="0.2">
      <c r="A50" s="107" t="s">
        <v>73</v>
      </c>
      <c r="C50" s="580" t="s">
        <v>278</v>
      </c>
      <c r="D50" s="470"/>
      <c r="E50" s="470"/>
      <c r="F50" s="470"/>
      <c r="G50" s="470"/>
      <c r="H50" s="470"/>
      <c r="I50" s="470"/>
      <c r="J50" s="470"/>
      <c r="K50" s="470"/>
      <c r="L50" s="470"/>
      <c r="M50" s="470"/>
      <c r="N50" s="470"/>
      <c r="O50" s="347"/>
      <c r="P50" s="344"/>
      <c r="Q50" s="99"/>
      <c r="R50"/>
      <c r="S50"/>
      <c r="V50"/>
      <c r="W50"/>
      <c r="X50"/>
      <c r="Y50"/>
      <c r="Z50"/>
      <c r="AA50"/>
      <c r="AB50"/>
      <c r="AC50"/>
    </row>
    <row r="51" spans="1:29" ht="25.5" customHeight="1" x14ac:dyDescent="0.2">
      <c r="A51" s="107" t="s">
        <v>69</v>
      </c>
      <c r="B51" s="93"/>
      <c r="C51" s="581" t="s">
        <v>17</v>
      </c>
      <c r="D51" s="470"/>
      <c r="E51" s="470"/>
      <c r="F51" s="470"/>
      <c r="G51" s="470"/>
      <c r="H51" s="470"/>
      <c r="I51" s="470"/>
      <c r="J51" s="470"/>
      <c r="K51" s="470"/>
      <c r="L51" s="470"/>
      <c r="M51" s="470"/>
      <c r="N51" s="470"/>
      <c r="O51" s="345"/>
      <c r="Q51" s="359"/>
      <c r="R51"/>
      <c r="S51"/>
      <c r="V51"/>
      <c r="W51"/>
      <c r="X51"/>
      <c r="Y51"/>
      <c r="Z51"/>
      <c r="AA51"/>
      <c r="AB51"/>
      <c r="AC51"/>
    </row>
    <row r="52" spans="1:29" ht="21.75" customHeight="1" x14ac:dyDescent="0.25">
      <c r="A52" s="106">
        <v>1</v>
      </c>
      <c r="B52" s="93"/>
      <c r="C52" s="100" t="s">
        <v>264</v>
      </c>
      <c r="D52" s="576" t="s">
        <v>74</v>
      </c>
      <c r="E52" s="577"/>
      <c r="F52" s="577"/>
      <c r="G52" s="577"/>
      <c r="H52" s="577"/>
      <c r="I52" s="577"/>
      <c r="J52" s="577"/>
      <c r="K52" s="577"/>
      <c r="L52" s="577"/>
      <c r="M52" s="577"/>
      <c r="N52" s="578"/>
      <c r="O52" s="101" t="s">
        <v>265</v>
      </c>
      <c r="P52" s="101" t="s">
        <v>266</v>
      </c>
      <c r="Q52" s="173"/>
      <c r="R52"/>
      <c r="S52"/>
      <c r="V52"/>
      <c r="W52"/>
      <c r="X52"/>
      <c r="Y52"/>
      <c r="Z52"/>
      <c r="AA52"/>
      <c r="AB52"/>
      <c r="AC52"/>
    </row>
    <row r="53" spans="1:29" ht="35.25" customHeight="1" x14ac:dyDescent="0.2">
      <c r="A53" s="106">
        <v>1</v>
      </c>
      <c r="C53" s="94" t="s">
        <v>232</v>
      </c>
      <c r="D53" s="601" t="s">
        <v>279</v>
      </c>
      <c r="E53" s="595"/>
      <c r="F53" s="595"/>
      <c r="G53" s="595"/>
      <c r="H53" s="595"/>
      <c r="I53" s="595"/>
      <c r="J53" s="595"/>
      <c r="K53" s="595"/>
      <c r="L53" s="595"/>
      <c r="M53" s="595"/>
      <c r="N53" s="595"/>
      <c r="O53" s="71"/>
      <c r="P53" s="95" t="str">
        <f t="shared" ref="P53:P60" si="6">IF(O53="","",IF(O53="Yes","Pass",IF(O53="No","Fail","N/A")))</f>
        <v/>
      </c>
      <c r="Q53" s="173"/>
      <c r="R53"/>
      <c r="S53"/>
      <c r="V53"/>
      <c r="W53"/>
      <c r="X53"/>
      <c r="Y53"/>
      <c r="Z53"/>
      <c r="AA53"/>
      <c r="AB53"/>
      <c r="AC53"/>
    </row>
    <row r="54" spans="1:29" ht="61.5" customHeight="1" x14ac:dyDescent="0.2">
      <c r="A54" s="106">
        <v>1</v>
      </c>
      <c r="C54" s="94" t="s">
        <v>233</v>
      </c>
      <c r="D54" s="601" t="s">
        <v>457</v>
      </c>
      <c r="E54" s="605"/>
      <c r="F54" s="605"/>
      <c r="G54" s="605"/>
      <c r="H54" s="605"/>
      <c r="I54" s="605"/>
      <c r="J54" s="605"/>
      <c r="K54" s="605"/>
      <c r="L54" s="605"/>
      <c r="M54" s="605"/>
      <c r="N54" s="606"/>
      <c r="O54" s="71"/>
      <c r="P54" s="95" t="str">
        <f t="shared" si="6"/>
        <v/>
      </c>
      <c r="Q54" s="173"/>
      <c r="R54"/>
      <c r="S54"/>
      <c r="V54"/>
      <c r="W54"/>
      <c r="X54"/>
      <c r="Y54"/>
      <c r="Z54"/>
      <c r="AA54"/>
      <c r="AB54"/>
      <c r="AC54"/>
    </row>
    <row r="55" spans="1:29" ht="33.75" customHeight="1" x14ac:dyDescent="0.2">
      <c r="A55" s="106">
        <v>1</v>
      </c>
      <c r="B55" s="107" t="s">
        <v>70</v>
      </c>
      <c r="C55" s="94" t="s">
        <v>458</v>
      </c>
      <c r="D55" s="602" t="s">
        <v>454</v>
      </c>
      <c r="E55" s="603"/>
      <c r="F55" s="603"/>
      <c r="G55" s="603"/>
      <c r="H55" s="603"/>
      <c r="I55" s="603"/>
      <c r="J55" s="603"/>
      <c r="K55" s="603"/>
      <c r="L55" s="603"/>
      <c r="M55" s="603"/>
      <c r="N55" s="604"/>
      <c r="O55" s="71"/>
      <c r="P55" s="95" t="str">
        <f t="shared" si="6"/>
        <v/>
      </c>
      <c r="Q55" s="173"/>
      <c r="R55"/>
      <c r="S55"/>
      <c r="V55"/>
      <c r="W55"/>
      <c r="X55"/>
      <c r="Y55"/>
      <c r="Z55"/>
      <c r="AA55"/>
      <c r="AB55"/>
      <c r="AC55"/>
    </row>
    <row r="56" spans="1:29" ht="53.25" customHeight="1" x14ac:dyDescent="0.2">
      <c r="A56" s="107" t="s">
        <v>73</v>
      </c>
      <c r="C56" s="94" t="s">
        <v>234</v>
      </c>
      <c r="D56" s="594" t="s">
        <v>541</v>
      </c>
      <c r="E56" s="595"/>
      <c r="F56" s="595"/>
      <c r="G56" s="595"/>
      <c r="H56" s="595"/>
      <c r="I56" s="595"/>
      <c r="J56" s="595"/>
      <c r="K56" s="595"/>
      <c r="L56" s="595"/>
      <c r="M56" s="595"/>
      <c r="N56" s="596"/>
      <c r="O56" s="71"/>
      <c r="P56" s="95" t="str">
        <f t="shared" si="6"/>
        <v/>
      </c>
      <c r="Q56" s="173"/>
      <c r="R56"/>
      <c r="S56"/>
      <c r="V56"/>
      <c r="W56"/>
      <c r="X56"/>
      <c r="Y56"/>
      <c r="Z56"/>
      <c r="AA56"/>
      <c r="AB56"/>
      <c r="AC56"/>
    </row>
    <row r="57" spans="1:29" ht="31.5" customHeight="1" x14ac:dyDescent="0.2">
      <c r="B57" s="93"/>
      <c r="C57" s="94" t="s">
        <v>235</v>
      </c>
      <c r="D57" s="602" t="s">
        <v>459</v>
      </c>
      <c r="E57" s="603"/>
      <c r="F57" s="603"/>
      <c r="G57" s="603"/>
      <c r="H57" s="603"/>
      <c r="I57" s="603"/>
      <c r="J57" s="603"/>
      <c r="K57" s="603"/>
      <c r="L57" s="603"/>
      <c r="M57" s="603"/>
      <c r="N57" s="604"/>
      <c r="O57" s="71"/>
      <c r="P57" s="95" t="str">
        <f t="shared" si="6"/>
        <v/>
      </c>
      <c r="Q57" s="173"/>
      <c r="R57"/>
      <c r="S57"/>
      <c r="V57"/>
      <c r="W57"/>
      <c r="X57"/>
      <c r="Y57"/>
      <c r="Z57"/>
      <c r="AA57"/>
      <c r="AB57"/>
      <c r="AC57"/>
    </row>
    <row r="58" spans="1:29" ht="40.5" customHeight="1" x14ac:dyDescent="0.2">
      <c r="C58" s="104" t="s">
        <v>460</v>
      </c>
      <c r="D58" s="597" t="s">
        <v>455</v>
      </c>
      <c r="E58" s="595"/>
      <c r="F58" s="595"/>
      <c r="G58" s="595"/>
      <c r="H58" s="595"/>
      <c r="I58" s="595"/>
      <c r="J58" s="595"/>
      <c r="K58" s="595"/>
      <c r="L58" s="595"/>
      <c r="M58" s="595"/>
      <c r="N58" s="596"/>
      <c r="O58" s="71"/>
      <c r="P58" s="95" t="str">
        <f t="shared" si="6"/>
        <v/>
      </c>
      <c r="Q58" s="173"/>
      <c r="R58"/>
      <c r="S58"/>
      <c r="V58"/>
      <c r="W58"/>
      <c r="X58"/>
      <c r="Y58"/>
      <c r="Z58"/>
      <c r="AA58"/>
      <c r="AB58"/>
      <c r="AC58"/>
    </row>
    <row r="59" spans="1:29" ht="30" customHeight="1" x14ac:dyDescent="0.2">
      <c r="A59" s="107" t="s">
        <v>70</v>
      </c>
      <c r="C59" s="104" t="s">
        <v>236</v>
      </c>
      <c r="D59" s="598" t="s">
        <v>456</v>
      </c>
      <c r="E59" s="599"/>
      <c r="F59" s="599"/>
      <c r="G59" s="599"/>
      <c r="H59" s="599"/>
      <c r="I59" s="599"/>
      <c r="J59" s="599"/>
      <c r="K59" s="599"/>
      <c r="L59" s="599"/>
      <c r="M59" s="599"/>
      <c r="N59" s="600"/>
      <c r="O59" s="71"/>
      <c r="P59" s="95" t="str">
        <f t="shared" si="6"/>
        <v/>
      </c>
      <c r="Q59" s="173"/>
      <c r="R59"/>
      <c r="S59"/>
      <c r="V59"/>
      <c r="W59"/>
      <c r="X59"/>
      <c r="Y59"/>
      <c r="Z59"/>
      <c r="AA59"/>
      <c r="AB59"/>
      <c r="AC59"/>
    </row>
    <row r="60" spans="1:29" ht="30" customHeight="1" x14ac:dyDescent="0.2">
      <c r="A60" s="107" t="s">
        <v>70</v>
      </c>
      <c r="B60" s="93"/>
      <c r="C60" s="104" t="s">
        <v>237</v>
      </c>
      <c r="D60" s="598" t="s">
        <v>280</v>
      </c>
      <c r="E60" s="599"/>
      <c r="F60" s="599"/>
      <c r="G60" s="599"/>
      <c r="H60" s="599"/>
      <c r="I60" s="599"/>
      <c r="J60" s="599"/>
      <c r="K60" s="599"/>
      <c r="L60" s="599"/>
      <c r="M60" s="599"/>
      <c r="N60" s="600"/>
      <c r="O60" s="71"/>
      <c r="P60" s="95" t="str">
        <f t="shared" si="6"/>
        <v/>
      </c>
      <c r="Q60" s="171"/>
      <c r="R60"/>
      <c r="S60"/>
      <c r="V60"/>
      <c r="W60"/>
      <c r="X60"/>
      <c r="Y60"/>
      <c r="Z60"/>
      <c r="AA60"/>
      <c r="AB60"/>
      <c r="AC60"/>
    </row>
    <row r="61" spans="1:29" ht="27" customHeight="1" x14ac:dyDescent="0.2">
      <c r="A61" s="107" t="s">
        <v>69</v>
      </c>
      <c r="B61" s="107" t="s">
        <v>69</v>
      </c>
      <c r="C61" s="580" t="s">
        <v>281</v>
      </c>
      <c r="D61" s="470"/>
      <c r="E61" s="470"/>
      <c r="F61" s="470"/>
      <c r="G61" s="470"/>
      <c r="H61" s="470"/>
      <c r="I61" s="470"/>
      <c r="J61" s="470"/>
      <c r="K61" s="470"/>
      <c r="L61" s="470"/>
      <c r="M61" s="470"/>
      <c r="N61" s="470"/>
      <c r="O61" s="347"/>
      <c r="P61" s="345"/>
      <c r="Q61" s="172"/>
      <c r="R61"/>
      <c r="S61"/>
      <c r="V61"/>
      <c r="W61"/>
      <c r="X61"/>
      <c r="Y61"/>
      <c r="Z61"/>
      <c r="AA61"/>
      <c r="AB61"/>
      <c r="AC61"/>
    </row>
    <row r="62" spans="1:29" ht="28.5" customHeight="1" x14ac:dyDescent="0.2">
      <c r="A62" s="107"/>
      <c r="B62" s="147"/>
      <c r="C62" s="581" t="s">
        <v>17</v>
      </c>
      <c r="D62" s="470"/>
      <c r="E62" s="470"/>
      <c r="F62" s="470"/>
      <c r="G62" s="470"/>
      <c r="H62" s="470"/>
      <c r="I62" s="470"/>
      <c r="J62" s="470"/>
      <c r="K62" s="470"/>
      <c r="L62" s="470"/>
      <c r="M62" s="470"/>
      <c r="N62" s="470"/>
      <c r="O62" s="345"/>
      <c r="Q62" s="171"/>
      <c r="R62"/>
      <c r="S62"/>
      <c r="V62"/>
      <c r="W62"/>
      <c r="X62"/>
      <c r="Y62"/>
      <c r="Z62"/>
      <c r="AA62"/>
      <c r="AB62"/>
      <c r="AC62"/>
    </row>
    <row r="63" spans="1:29" ht="30.75" x14ac:dyDescent="0.25">
      <c r="A63" s="107" t="s">
        <v>70</v>
      </c>
      <c r="B63" s="93"/>
      <c r="C63" s="100" t="s">
        <v>264</v>
      </c>
      <c r="D63" s="573" t="s">
        <v>75</v>
      </c>
      <c r="E63" s="574"/>
      <c r="F63" s="574"/>
      <c r="G63" s="574"/>
      <c r="H63" s="574"/>
      <c r="I63" s="574"/>
      <c r="J63" s="574"/>
      <c r="K63" s="574"/>
      <c r="L63" s="574"/>
      <c r="M63" s="574"/>
      <c r="N63" s="440"/>
      <c r="O63" s="101" t="s">
        <v>265</v>
      </c>
      <c r="P63" s="101" t="s">
        <v>266</v>
      </c>
      <c r="Q63" s="359"/>
      <c r="R63"/>
      <c r="S63"/>
      <c r="V63"/>
      <c r="W63"/>
      <c r="X63"/>
      <c r="Y63"/>
      <c r="Z63"/>
      <c r="AA63"/>
      <c r="AB63"/>
      <c r="AC63"/>
    </row>
    <row r="64" spans="1:29" ht="30" x14ac:dyDescent="0.2">
      <c r="A64" s="107" t="s">
        <v>70</v>
      </c>
      <c r="B64" s="93"/>
      <c r="C64" s="94" t="s">
        <v>239</v>
      </c>
      <c r="D64" s="567" t="s">
        <v>461</v>
      </c>
      <c r="E64" s="470"/>
      <c r="F64" s="470"/>
      <c r="G64" s="470"/>
      <c r="H64" s="470"/>
      <c r="I64" s="470"/>
      <c r="J64" s="470"/>
      <c r="K64" s="470"/>
      <c r="L64" s="470"/>
      <c r="M64" s="470"/>
      <c r="N64" s="471"/>
      <c r="O64" s="71"/>
      <c r="P64" s="95" t="str">
        <f t="shared" ref="P64:P69" si="7">IF(O64="","",IF(O64="Yes","Pass",IF(O64="No","Fail","N/A")))</f>
        <v/>
      </c>
      <c r="Q64" s="173"/>
      <c r="R64"/>
      <c r="S64"/>
      <c r="V64"/>
      <c r="W64"/>
      <c r="X64"/>
      <c r="Y64"/>
      <c r="Z64"/>
      <c r="AA64"/>
      <c r="AB64"/>
      <c r="AC64"/>
    </row>
    <row r="65" spans="1:29" ht="34.5" customHeight="1" x14ac:dyDescent="0.2">
      <c r="A65" s="107" t="s">
        <v>76</v>
      </c>
      <c r="B65" s="93"/>
      <c r="C65" s="94" t="s">
        <v>240</v>
      </c>
      <c r="D65" s="567" t="s">
        <v>282</v>
      </c>
      <c r="E65" s="470"/>
      <c r="F65" s="470"/>
      <c r="G65" s="470"/>
      <c r="H65" s="470"/>
      <c r="I65" s="470"/>
      <c r="J65" s="470"/>
      <c r="K65" s="470"/>
      <c r="L65" s="470"/>
      <c r="M65" s="470"/>
      <c r="N65" s="471"/>
      <c r="O65" s="71"/>
      <c r="P65" s="95" t="str">
        <f t="shared" si="7"/>
        <v/>
      </c>
      <c r="Q65" s="173"/>
      <c r="R65"/>
      <c r="S65"/>
      <c r="V65"/>
      <c r="W65"/>
      <c r="X65"/>
      <c r="Y65"/>
      <c r="Z65"/>
      <c r="AA65"/>
      <c r="AB65"/>
      <c r="AC65"/>
    </row>
    <row r="66" spans="1:29" ht="56.25" customHeight="1" x14ac:dyDescent="0.2">
      <c r="A66" s="106">
        <v>1</v>
      </c>
      <c r="B66" s="93"/>
      <c r="C66" s="94" t="s">
        <v>241</v>
      </c>
      <c r="D66" s="567" t="s">
        <v>462</v>
      </c>
      <c r="E66" s="470"/>
      <c r="F66" s="470"/>
      <c r="G66" s="470"/>
      <c r="H66" s="470"/>
      <c r="I66" s="470"/>
      <c r="J66" s="470"/>
      <c r="K66" s="470"/>
      <c r="L66" s="470"/>
      <c r="M66" s="470"/>
      <c r="N66" s="471"/>
      <c r="O66" s="71"/>
      <c r="P66" s="95" t="str">
        <f t="shared" si="7"/>
        <v/>
      </c>
      <c r="Q66" s="173"/>
      <c r="R66"/>
      <c r="S66"/>
      <c r="V66"/>
      <c r="W66"/>
      <c r="X66"/>
      <c r="Y66"/>
      <c r="Z66"/>
      <c r="AA66"/>
      <c r="AB66"/>
      <c r="AC66"/>
    </row>
    <row r="67" spans="1:29" ht="35.25" customHeight="1" x14ac:dyDescent="0.2">
      <c r="A67" s="107" t="s">
        <v>73</v>
      </c>
      <c r="C67" s="148" t="s">
        <v>542</v>
      </c>
      <c r="D67" s="593" t="s">
        <v>464</v>
      </c>
      <c r="E67" s="470"/>
      <c r="F67" s="470"/>
      <c r="G67" s="470"/>
      <c r="H67" s="470"/>
      <c r="I67" s="470"/>
      <c r="J67" s="470"/>
      <c r="K67" s="470"/>
      <c r="L67" s="470"/>
      <c r="M67" s="470"/>
      <c r="N67" s="470"/>
      <c r="O67" s="71"/>
      <c r="P67" s="95" t="str">
        <f t="shared" si="7"/>
        <v/>
      </c>
      <c r="Q67" s="173"/>
      <c r="R67"/>
      <c r="S67"/>
      <c r="V67"/>
      <c r="W67"/>
      <c r="X67"/>
      <c r="Y67"/>
      <c r="Z67"/>
      <c r="AA67"/>
      <c r="AB67"/>
      <c r="AC67"/>
    </row>
    <row r="68" spans="1:29" ht="39" customHeight="1" x14ac:dyDescent="0.2">
      <c r="B68" s="93"/>
      <c r="C68" s="94" t="s">
        <v>242</v>
      </c>
      <c r="D68" s="469" t="s">
        <v>546</v>
      </c>
      <c r="E68" s="470"/>
      <c r="F68" s="470"/>
      <c r="G68" s="470"/>
      <c r="H68" s="470"/>
      <c r="I68" s="470"/>
      <c r="J68" s="470"/>
      <c r="K68" s="470"/>
      <c r="L68" s="470"/>
      <c r="M68" s="470"/>
      <c r="N68" s="471"/>
      <c r="O68" s="71"/>
      <c r="P68" s="95" t="str">
        <f t="shared" si="7"/>
        <v/>
      </c>
      <c r="Q68" s="173"/>
      <c r="R68"/>
      <c r="S68"/>
      <c r="V68"/>
      <c r="W68"/>
      <c r="X68"/>
      <c r="Y68"/>
      <c r="Z68"/>
      <c r="AA68"/>
      <c r="AB68"/>
      <c r="AC68"/>
    </row>
    <row r="69" spans="1:29" ht="18" customHeight="1" x14ac:dyDescent="0.2">
      <c r="C69" s="94" t="s">
        <v>243</v>
      </c>
      <c r="D69" s="469" t="s">
        <v>547</v>
      </c>
      <c r="E69" s="470"/>
      <c r="F69" s="470"/>
      <c r="G69" s="470"/>
      <c r="H69" s="470"/>
      <c r="I69" s="470"/>
      <c r="J69" s="470"/>
      <c r="K69" s="470"/>
      <c r="L69" s="470"/>
      <c r="M69" s="470"/>
      <c r="N69" s="471"/>
      <c r="O69" s="71"/>
      <c r="P69" s="95" t="str">
        <f t="shared" si="7"/>
        <v/>
      </c>
      <c r="Q69" s="173"/>
      <c r="R69"/>
      <c r="S69"/>
      <c r="V69"/>
      <c r="W69"/>
      <c r="X69"/>
      <c r="Y69"/>
      <c r="Z69"/>
      <c r="AA69"/>
      <c r="AB69"/>
      <c r="AC69"/>
    </row>
    <row r="70" spans="1:29" ht="19.5" customHeight="1" x14ac:dyDescent="0.25">
      <c r="A70" s="107" t="s">
        <v>70</v>
      </c>
      <c r="C70" s="608" t="s">
        <v>283</v>
      </c>
      <c r="D70" s="486"/>
      <c r="E70" s="486"/>
      <c r="F70" s="486"/>
      <c r="G70" s="486"/>
      <c r="H70" s="486"/>
      <c r="I70" s="486"/>
      <c r="J70" s="486"/>
      <c r="K70" s="486"/>
      <c r="L70" s="486"/>
      <c r="M70" s="486"/>
      <c r="N70" s="486"/>
      <c r="O70" s="348"/>
      <c r="P70" s="342"/>
      <c r="Q70" s="173"/>
      <c r="R70"/>
      <c r="S70"/>
      <c r="V70"/>
      <c r="W70"/>
      <c r="X70"/>
      <c r="Y70"/>
      <c r="Z70"/>
      <c r="AA70"/>
      <c r="AB70"/>
      <c r="AC70"/>
    </row>
    <row r="71" spans="1:29" ht="29.25" customHeight="1" x14ac:dyDescent="0.25">
      <c r="A71" s="107" t="s">
        <v>285</v>
      </c>
      <c r="B71" s="93"/>
      <c r="C71" s="581" t="s">
        <v>17</v>
      </c>
      <c r="D71" s="470"/>
      <c r="E71" s="470"/>
      <c r="F71" s="470"/>
      <c r="G71" s="470"/>
      <c r="H71" s="470"/>
      <c r="I71" s="470"/>
      <c r="J71" s="470"/>
      <c r="K71" s="470"/>
      <c r="L71" s="470"/>
      <c r="M71" s="470"/>
      <c r="N71" s="470"/>
      <c r="O71" s="345"/>
      <c r="Q71" s="352"/>
      <c r="R71"/>
      <c r="S71"/>
      <c r="V71"/>
      <c r="W71"/>
      <c r="X71"/>
      <c r="Y71"/>
      <c r="Z71"/>
      <c r="AA71"/>
      <c r="AB71"/>
      <c r="AC71"/>
    </row>
    <row r="72" spans="1:29" ht="24" customHeight="1" x14ac:dyDescent="0.25">
      <c r="A72" s="107" t="s">
        <v>76</v>
      </c>
      <c r="B72" s="107" t="s">
        <v>286</v>
      </c>
      <c r="C72" s="100" t="s">
        <v>264</v>
      </c>
      <c r="D72" s="573" t="s">
        <v>77</v>
      </c>
      <c r="E72" s="574"/>
      <c r="F72" s="574"/>
      <c r="G72" s="574"/>
      <c r="H72" s="574"/>
      <c r="I72" s="574"/>
      <c r="J72" s="574"/>
      <c r="K72" s="574"/>
      <c r="L72" s="574"/>
      <c r="M72" s="574"/>
      <c r="N72" s="574"/>
      <c r="O72" s="101" t="s">
        <v>265</v>
      </c>
      <c r="P72" s="101" t="s">
        <v>266</v>
      </c>
      <c r="Q72" s="172"/>
      <c r="R72"/>
      <c r="S72"/>
      <c r="V72"/>
      <c r="W72"/>
      <c r="X72"/>
      <c r="Y72"/>
      <c r="Z72"/>
      <c r="AA72"/>
      <c r="AB72"/>
      <c r="AC72"/>
    </row>
    <row r="73" spans="1:29" ht="36.75" customHeight="1" x14ac:dyDescent="0.2">
      <c r="A73" s="107" t="s">
        <v>287</v>
      </c>
      <c r="B73" s="107" t="s">
        <v>80</v>
      </c>
      <c r="C73" s="102" t="s">
        <v>245</v>
      </c>
      <c r="D73" s="607" t="s">
        <v>284</v>
      </c>
      <c r="E73" s="470"/>
      <c r="F73" s="470"/>
      <c r="G73" s="470"/>
      <c r="H73" s="470"/>
      <c r="I73" s="470"/>
      <c r="J73" s="470"/>
      <c r="K73" s="470"/>
      <c r="L73" s="470"/>
      <c r="M73" s="470"/>
      <c r="N73" s="470"/>
      <c r="O73" s="71"/>
      <c r="P73" s="95" t="str">
        <f>IF(O73="","",IF(O73="Yes","Fail",IF(O73="No","Pass","N/A")))</f>
        <v/>
      </c>
      <c r="R73"/>
      <c r="S73"/>
      <c r="V73"/>
      <c r="W73"/>
      <c r="X73"/>
      <c r="Y73"/>
      <c r="Z73"/>
      <c r="AA73"/>
      <c r="AB73"/>
      <c r="AC73"/>
    </row>
    <row r="74" spans="1:29" ht="120" customHeight="1" x14ac:dyDescent="0.2">
      <c r="A74" s="107" t="s">
        <v>288</v>
      </c>
      <c r="B74" s="93"/>
      <c r="C74" s="102" t="s">
        <v>246</v>
      </c>
      <c r="D74" s="609" t="s">
        <v>552</v>
      </c>
      <c r="E74" s="470"/>
      <c r="F74" s="470"/>
      <c r="G74" s="470"/>
      <c r="H74" s="470"/>
      <c r="I74" s="470"/>
      <c r="J74" s="470"/>
      <c r="K74" s="470"/>
      <c r="L74" s="470"/>
      <c r="M74" s="470"/>
      <c r="N74" s="470"/>
      <c r="O74" s="71"/>
      <c r="P74" s="95" t="str">
        <f>IF(O74="","",IF(O74="Yes","Fail",IF(O74="No","Pass","N/A")))</f>
        <v/>
      </c>
      <c r="Q74" s="359"/>
      <c r="R74"/>
      <c r="S74"/>
      <c r="V74"/>
      <c r="W74"/>
      <c r="X74"/>
      <c r="Y74"/>
      <c r="Z74"/>
      <c r="AA74"/>
      <c r="AB74"/>
      <c r="AC74"/>
    </row>
    <row r="75" spans="1:29" ht="92.25" customHeight="1" x14ac:dyDescent="0.2">
      <c r="A75" s="107" t="s">
        <v>81</v>
      </c>
      <c r="B75" s="93"/>
      <c r="C75" s="102" t="s">
        <v>247</v>
      </c>
      <c r="D75" s="609" t="s">
        <v>551</v>
      </c>
      <c r="E75" s="470"/>
      <c r="F75" s="470"/>
      <c r="G75" s="470"/>
      <c r="H75" s="470"/>
      <c r="I75" s="470"/>
      <c r="J75" s="470"/>
      <c r="K75" s="470"/>
      <c r="L75" s="470"/>
      <c r="M75" s="470"/>
      <c r="N75" s="470"/>
      <c r="O75" s="71"/>
      <c r="P75" s="95" t="str">
        <f t="shared" ref="P75:P82" si="8">IF(O75="","",IF(O75="Yes","Pass",IF(O75="No","Fail","N/A")))</f>
        <v/>
      </c>
      <c r="Q75" s="173"/>
      <c r="R75"/>
      <c r="S75"/>
      <c r="V75"/>
      <c r="W75"/>
      <c r="X75"/>
      <c r="Y75"/>
      <c r="Z75"/>
      <c r="AA75"/>
      <c r="AB75"/>
      <c r="AC75"/>
    </row>
    <row r="76" spans="1:29" ht="128.25" customHeight="1" x14ac:dyDescent="0.2">
      <c r="A76" s="107" t="s">
        <v>69</v>
      </c>
      <c r="B76" s="93"/>
      <c r="C76" s="102" t="s">
        <v>248</v>
      </c>
      <c r="D76" s="579" t="s">
        <v>550</v>
      </c>
      <c r="E76" s="572"/>
      <c r="F76" s="572"/>
      <c r="G76" s="572"/>
      <c r="H76" s="572"/>
      <c r="I76" s="572"/>
      <c r="J76" s="572"/>
      <c r="K76" s="572"/>
      <c r="L76" s="572"/>
      <c r="M76" s="572"/>
      <c r="N76" s="572"/>
      <c r="O76" s="71"/>
      <c r="P76" s="95" t="str">
        <f t="shared" si="8"/>
        <v/>
      </c>
      <c r="Q76" s="173"/>
      <c r="R76"/>
      <c r="S76"/>
      <c r="V76"/>
      <c r="W76"/>
      <c r="X76"/>
      <c r="Y76"/>
      <c r="Z76"/>
      <c r="AA76"/>
      <c r="AB76"/>
      <c r="AC76"/>
    </row>
    <row r="77" spans="1:29" ht="87" customHeight="1" x14ac:dyDescent="0.2">
      <c r="A77" s="107" t="s">
        <v>288</v>
      </c>
      <c r="B77" s="93"/>
      <c r="C77" s="102" t="s">
        <v>249</v>
      </c>
      <c r="D77" s="579" t="s">
        <v>289</v>
      </c>
      <c r="E77" s="572"/>
      <c r="F77" s="572"/>
      <c r="G77" s="572"/>
      <c r="H77" s="572"/>
      <c r="I77" s="572"/>
      <c r="J77" s="572"/>
      <c r="K77" s="572"/>
      <c r="L77" s="572"/>
      <c r="M77" s="572"/>
      <c r="N77" s="582"/>
      <c r="O77" s="71"/>
      <c r="P77" s="95" t="str">
        <f t="shared" si="8"/>
        <v/>
      </c>
      <c r="Q77" s="173"/>
      <c r="R77"/>
      <c r="S77"/>
      <c r="V77"/>
      <c r="W77"/>
      <c r="X77"/>
      <c r="Y77"/>
      <c r="Z77"/>
      <c r="AA77"/>
      <c r="AB77"/>
      <c r="AC77"/>
    </row>
    <row r="78" spans="1:29" ht="38.25" customHeight="1" x14ac:dyDescent="0.2">
      <c r="A78" s="107" t="s">
        <v>73</v>
      </c>
      <c r="B78" s="93"/>
      <c r="C78" s="102" t="s">
        <v>250</v>
      </c>
      <c r="D78" s="579" t="s">
        <v>543</v>
      </c>
      <c r="E78" s="572"/>
      <c r="F78" s="572"/>
      <c r="G78" s="572"/>
      <c r="H78" s="572"/>
      <c r="I78" s="572"/>
      <c r="J78" s="572"/>
      <c r="K78" s="572"/>
      <c r="L78" s="572"/>
      <c r="M78" s="572"/>
      <c r="N78" s="582"/>
      <c r="O78" s="71"/>
      <c r="P78" s="95" t="str">
        <f t="shared" si="8"/>
        <v/>
      </c>
      <c r="Q78" s="173"/>
      <c r="R78"/>
      <c r="S78"/>
      <c r="V78"/>
      <c r="W78"/>
      <c r="X78"/>
      <c r="Y78"/>
      <c r="Z78"/>
      <c r="AA78"/>
      <c r="AB78"/>
      <c r="AC78"/>
    </row>
    <row r="79" spans="1:29" ht="40.5" customHeight="1" x14ac:dyDescent="0.2">
      <c r="A79" s="107" t="s">
        <v>81</v>
      </c>
      <c r="B79" s="93"/>
      <c r="C79" s="102" t="s">
        <v>251</v>
      </c>
      <c r="D79" s="567" t="s">
        <v>290</v>
      </c>
      <c r="E79" s="572"/>
      <c r="F79" s="572"/>
      <c r="G79" s="572"/>
      <c r="H79" s="572"/>
      <c r="I79" s="572"/>
      <c r="J79" s="572"/>
      <c r="K79" s="572"/>
      <c r="L79" s="572"/>
      <c r="M79" s="572"/>
      <c r="N79" s="582"/>
      <c r="O79" s="71"/>
      <c r="P79" s="95" t="str">
        <f t="shared" si="8"/>
        <v/>
      </c>
      <c r="Q79" s="173"/>
      <c r="R79"/>
      <c r="S79"/>
      <c r="V79"/>
      <c r="W79"/>
      <c r="X79"/>
      <c r="Y79"/>
      <c r="Z79"/>
      <c r="AA79"/>
      <c r="AB79"/>
      <c r="AC79"/>
    </row>
    <row r="80" spans="1:29" ht="63" customHeight="1" x14ac:dyDescent="0.2">
      <c r="A80" s="107" t="s">
        <v>81</v>
      </c>
      <c r="B80" s="93"/>
      <c r="C80" s="102" t="s">
        <v>252</v>
      </c>
      <c r="D80" s="579" t="s">
        <v>549</v>
      </c>
      <c r="E80" s="572"/>
      <c r="F80" s="572"/>
      <c r="G80" s="572"/>
      <c r="H80" s="572"/>
      <c r="I80" s="572"/>
      <c r="J80" s="572"/>
      <c r="K80" s="572"/>
      <c r="L80" s="572"/>
      <c r="M80" s="572"/>
      <c r="N80" s="582"/>
      <c r="O80" s="71"/>
      <c r="P80" s="95" t="str">
        <f t="shared" si="8"/>
        <v/>
      </c>
      <c r="Q80" s="173"/>
      <c r="R80"/>
      <c r="S80"/>
      <c r="V80"/>
      <c r="W80"/>
      <c r="X80"/>
      <c r="Y80"/>
      <c r="Z80"/>
      <c r="AA80"/>
      <c r="AB80"/>
      <c r="AC80"/>
    </row>
    <row r="81" spans="1:19" ht="60" customHeight="1" x14ac:dyDescent="0.2">
      <c r="A81" s="107" t="s">
        <v>288</v>
      </c>
      <c r="B81" s="93"/>
      <c r="C81" s="102" t="s">
        <v>253</v>
      </c>
      <c r="D81" s="579" t="s">
        <v>291</v>
      </c>
      <c r="E81" s="572"/>
      <c r="F81" s="572"/>
      <c r="G81" s="572"/>
      <c r="H81" s="572"/>
      <c r="I81" s="572"/>
      <c r="J81" s="572"/>
      <c r="K81" s="572"/>
      <c r="L81" s="572"/>
      <c r="M81" s="572"/>
      <c r="N81" s="582"/>
      <c r="O81" s="71"/>
      <c r="P81" s="95" t="str">
        <f t="shared" si="8"/>
        <v/>
      </c>
      <c r="Q81"/>
      <c r="R81"/>
      <c r="S81"/>
    </row>
    <row r="82" spans="1:19" ht="75" customHeight="1" x14ac:dyDescent="0.2">
      <c r="A82" s="106">
        <v>1</v>
      </c>
      <c r="B82" s="93"/>
      <c r="C82" s="102" t="s">
        <v>254</v>
      </c>
      <c r="D82" s="609" t="s">
        <v>548</v>
      </c>
      <c r="E82" s="470"/>
      <c r="F82" s="470"/>
      <c r="G82" s="470"/>
      <c r="H82" s="470"/>
      <c r="I82" s="470"/>
      <c r="J82" s="470"/>
      <c r="K82" s="470"/>
      <c r="L82" s="470"/>
      <c r="M82" s="470"/>
      <c r="N82" s="471"/>
      <c r="O82" s="71"/>
      <c r="P82" s="95" t="str">
        <f t="shared" si="8"/>
        <v/>
      </c>
      <c r="Q82"/>
      <c r="R82"/>
      <c r="S82"/>
    </row>
    <row r="83" spans="1:19" ht="20.25" customHeight="1" x14ac:dyDescent="0.2">
      <c r="A83" s="107" t="s">
        <v>73</v>
      </c>
      <c r="C83" s="469" t="s">
        <v>292</v>
      </c>
      <c r="D83" s="470"/>
      <c r="E83" s="470"/>
      <c r="F83" s="470"/>
      <c r="G83" s="470"/>
      <c r="H83" s="470"/>
      <c r="I83" s="470"/>
      <c r="J83" s="470"/>
      <c r="K83" s="470"/>
      <c r="L83" s="470"/>
      <c r="M83" s="470"/>
      <c r="N83" s="470"/>
      <c r="O83" s="346"/>
      <c r="P83" s="95"/>
      <c r="Q83"/>
      <c r="R83"/>
      <c r="S83"/>
    </row>
    <row r="84" spans="1:19" ht="28.5" customHeight="1" x14ac:dyDescent="0.2">
      <c r="B84" s="93"/>
      <c r="C84" s="581" t="s">
        <v>17</v>
      </c>
      <c r="D84" s="470"/>
      <c r="E84" s="470"/>
      <c r="F84" s="470"/>
      <c r="G84" s="470"/>
      <c r="H84" s="470"/>
      <c r="I84" s="470"/>
      <c r="J84" s="470"/>
      <c r="K84" s="470"/>
      <c r="L84" s="470"/>
      <c r="M84" s="470"/>
      <c r="N84" s="470"/>
      <c r="O84" s="345"/>
      <c r="P84" s="346"/>
      <c r="Q84"/>
      <c r="R84"/>
      <c r="S84"/>
    </row>
    <row r="85" spans="1:19" ht="18" x14ac:dyDescent="0.2">
      <c r="P85" s="345"/>
      <c r="Q85" s="173"/>
      <c r="R85" s="173"/>
      <c r="S85" s="173"/>
    </row>
    <row r="86" spans="1:19" ht="18" x14ac:dyDescent="0.2">
      <c r="P86" s="105"/>
      <c r="Q86" s="173"/>
      <c r="R86" s="173"/>
      <c r="S86" s="173"/>
    </row>
    <row r="87" spans="1:19" x14ac:dyDescent="0.2">
      <c r="P87" s="105"/>
      <c r="Q87" s="105"/>
      <c r="R87" s="105"/>
      <c r="S87" s="105"/>
    </row>
    <row r="88" spans="1:19" x14ac:dyDescent="0.2">
      <c r="Q88" s="105"/>
      <c r="R88" s="105"/>
      <c r="S88" s="105"/>
    </row>
    <row r="89" spans="1:19" x14ac:dyDescent="0.2">
      <c r="Q89" s="105"/>
      <c r="R89" s="105"/>
      <c r="S89" s="105"/>
    </row>
    <row r="90" spans="1:19" x14ac:dyDescent="0.2">
      <c r="Q90" s="105"/>
      <c r="R90" s="105"/>
      <c r="S90" s="105"/>
    </row>
  </sheetData>
  <sheetProtection algorithmName="SHA-512" hashValue="AZJfex/bW03nonCzywxfOqLioNIS92Ydm0eOBrk8YQae2IJ+WbvmFnzxhhZ4ZkKr4S0UktrUSaeFIfpk3xZtmw==" saltValue="11BcFO+9IAOF+fgJr67szw==" spinCount="100000" sheet="1" objects="1" scenarios="1"/>
  <mergeCells count="83">
    <mergeCell ref="C83:N83"/>
    <mergeCell ref="C84:N84"/>
    <mergeCell ref="D68:N68"/>
    <mergeCell ref="D73:N73"/>
    <mergeCell ref="D69:N69"/>
    <mergeCell ref="D72:N72"/>
    <mergeCell ref="C70:N70"/>
    <mergeCell ref="C71:N71"/>
    <mergeCell ref="D79:N79"/>
    <mergeCell ref="D80:N80"/>
    <mergeCell ref="D81:N81"/>
    <mergeCell ref="D82:N82"/>
    <mergeCell ref="D74:N74"/>
    <mergeCell ref="D75:N75"/>
    <mergeCell ref="D76:N76"/>
    <mergeCell ref="D77:N77"/>
    <mergeCell ref="D53:N53"/>
    <mergeCell ref="D55:N55"/>
    <mergeCell ref="D57:N57"/>
    <mergeCell ref="D60:N60"/>
    <mergeCell ref="D63:N63"/>
    <mergeCell ref="D54:N54"/>
    <mergeCell ref="C61:N61"/>
    <mergeCell ref="C62:N62"/>
    <mergeCell ref="D64:N64"/>
    <mergeCell ref="D65:N65"/>
    <mergeCell ref="D66:N66"/>
    <mergeCell ref="D67:N67"/>
    <mergeCell ref="D56:N56"/>
    <mergeCell ref="D58:N58"/>
    <mergeCell ref="D59:N59"/>
    <mergeCell ref="D78:N78"/>
    <mergeCell ref="C1:G1"/>
    <mergeCell ref="C2:G2"/>
    <mergeCell ref="K1:L1"/>
    <mergeCell ref="D18:N18"/>
    <mergeCell ref="D8:N8"/>
    <mergeCell ref="D12:N12"/>
    <mergeCell ref="D14:N14"/>
    <mergeCell ref="D15:N15"/>
    <mergeCell ref="D16:N16"/>
    <mergeCell ref="D17:N17"/>
    <mergeCell ref="E5:G5"/>
    <mergeCell ref="K2:L2"/>
    <mergeCell ref="D9:N9"/>
    <mergeCell ref="D10:N10"/>
    <mergeCell ref="D11:N11"/>
    <mergeCell ref="C21:N21"/>
    <mergeCell ref="C27:N27"/>
    <mergeCell ref="C28:N28"/>
    <mergeCell ref="C34:N34"/>
    <mergeCell ref="C35:N35"/>
    <mergeCell ref="D52:N52"/>
    <mergeCell ref="D26:N26"/>
    <mergeCell ref="D41:N41"/>
    <mergeCell ref="D47:N47"/>
    <mergeCell ref="D39:N39"/>
    <mergeCell ref="D40:N40"/>
    <mergeCell ref="D29:N29"/>
    <mergeCell ref="D30:N30"/>
    <mergeCell ref="D31:N31"/>
    <mergeCell ref="D32:N32"/>
    <mergeCell ref="D33:N33"/>
    <mergeCell ref="C50:N50"/>
    <mergeCell ref="C51:N51"/>
    <mergeCell ref="D37:N37"/>
    <mergeCell ref="D36:N36"/>
    <mergeCell ref="T1:V1"/>
    <mergeCell ref="U4:V4"/>
    <mergeCell ref="D48:N48"/>
    <mergeCell ref="D49:N49"/>
    <mergeCell ref="D42:N42"/>
    <mergeCell ref="D43:N43"/>
    <mergeCell ref="D44:N44"/>
    <mergeCell ref="D45:N45"/>
    <mergeCell ref="D46:N46"/>
    <mergeCell ref="D13:N13"/>
    <mergeCell ref="D19:N19"/>
    <mergeCell ref="D23:N23"/>
    <mergeCell ref="D22:N22"/>
    <mergeCell ref="D24:N24"/>
    <mergeCell ref="D25:N25"/>
    <mergeCell ref="C20:N20"/>
  </mergeCells>
  <phoneticPr fontId="0" type="noConversion"/>
  <conditionalFormatting sqref="M5">
    <cfRule type="containsText" dxfId="98" priority="7" operator="containsText" text="Fail">
      <formula>NOT(ISERROR(SEARCH("Fail",M5)))</formula>
    </cfRule>
  </conditionalFormatting>
  <conditionalFormatting sqref="P8:S19 P20 P22:S26 P29:S33 Q34:Q46 P36:P37 P39:P49 Q51:Q59 P52:P60 P63:P69 Q63:Q70 P72:P83 Q74:Q80 Q85:S86">
    <cfRule type="containsText" dxfId="97" priority="12" operator="containsText" text="Fail">
      <formula>NOT(ISERROR(SEARCH("Fail",P8)))</formula>
    </cfRule>
  </conditionalFormatting>
  <conditionalFormatting sqref="V1:V3 U4">
    <cfRule type="containsText" dxfId="96" priority="1" operator="containsText" text="Fail">
      <formula>NOT(ISERROR(SEARCH("Fail",U1)))</formula>
    </cfRule>
  </conditionalFormatting>
  <conditionalFormatting sqref="AF9">
    <cfRule type="containsText" dxfId="95" priority="10" operator="containsText" text="Fail">
      <formula>NOT(ISERROR(SEARCH("Fail",AF9)))</formula>
    </cfRule>
  </conditionalFormatting>
  <dataValidations count="4">
    <dataValidation type="list" showErrorMessage="1" errorTitle="Invalid Selection" error="Select either Yes, No, or N/A from the dropdown list. Click &quot;Cancel&quot; below, then update selection." sqref="O73:O82 O23:O26 O53:O60 O39:O49 O64:O69 O37 O30:O33 O9:O19" xr:uid="{40304075-0D61-40C6-88FF-88EECAD72701}">
      <formula1>"Yes,No,N/A"</formula1>
    </dataValidation>
    <dataValidation type="decimal" operator="greaterThanOrEqual" allowBlank="1" showInputMessage="1" showErrorMessage="1" errorTitle="Input Error" error="Insert the claimed amount with dollars and cents in $0.00 format. Click &quot;Cancel&quot; below and try again." sqref="Z9:Z34" xr:uid="{0E5323E5-8FEA-4088-8613-E8F084CD879E}">
      <formula1>0</formula1>
    </dataValidation>
    <dataValidation type="date" operator="greaterThan" allowBlank="1" showInputMessage="1" showErrorMessage="1" sqref="X9:X34" xr:uid="{9759A51F-4F67-47E3-900F-CB6348F0E2A4}">
      <formula1>36526</formula1>
    </dataValidation>
    <dataValidation type="whole" operator="greaterThan" allowBlank="1" showInputMessage="1" showErrorMessage="1" sqref="Y9:Y34" xr:uid="{CBB77ACB-B5CD-4928-BB15-2A9EEF63E833}">
      <formula1>0</formula1>
    </dataValidation>
  </dataValidations>
  <pageMargins left="0.7" right="0.7" top="1" bottom="0.75" header="0.3" footer="0.3"/>
  <pageSetup scale="70" fitToHeight="0" orientation="portrait" r:id="rId1"/>
  <headerFooter>
    <oddHeader>&amp;CConfidential QI Report
San Diego County Mental Health Plan
Behavioral Health Services
Fiscal Year 23-24</oddHeader>
    <oddFooter>&amp;LFY 23-24 Medical Record Review Report - Excel - Rev. 7-1-23</oddFooter>
  </headerFooter>
  <rowBreaks count="2" manualBreakCount="2">
    <brk id="51" min="2" max="28" man="1"/>
    <brk id="71" min="2" max="28" man="1"/>
  </rowBreaks>
  <colBreaks count="1" manualBreakCount="1">
    <brk id="16" max="83"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9D5850AB-CC01-400E-827C-C26BEC85BC36}">
          <x14:formula1>
            <xm:f>Validations!$D$4:$D$7</xm:f>
          </x14:formula1>
          <xm:sqref>AB9:AB34</xm:sqref>
        </x14:dataValidation>
        <x14:dataValidation type="list" allowBlank="1" showInputMessage="1" showErrorMessage="1" xr:uid="{694341CB-5A5A-492F-BDF1-26BEEDD3A78D}">
          <x14:formula1>
            <xm:f>Validations!$E$4:$E$15</xm:f>
          </x14:formula1>
          <xm:sqref>AA9:AA34</xm:sqref>
        </x14:dataValidation>
        <x14:dataValidation type="list" allowBlank="1" showInputMessage="1" showErrorMessage="1" xr:uid="{0F01AB34-9565-4D00-BD34-330B51BF9641}">
          <x14:formula1>
            <xm:f>Validations!$C$4:$C$54</xm:f>
          </x14:formula1>
          <xm:sqref>W9:W34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D8CC9-8412-4C29-9CE6-0AF627E83EDC}">
  <sheetPr codeName="Sheet4">
    <tabColor theme="3" tint="0.39997558519241921"/>
  </sheetPr>
  <dimension ref="A1:AF90"/>
  <sheetViews>
    <sheetView view="pageBreakPreview" topLeftCell="A9" zoomScale="92" zoomScaleNormal="80" zoomScaleSheetLayoutView="92" workbookViewId="0">
      <selection activeCell="D12" sqref="D12:N12"/>
    </sheetView>
  </sheetViews>
  <sheetFormatPr defaultColWidth="9.5703125" defaultRowHeight="15" x14ac:dyDescent="0.2"/>
  <cols>
    <col min="1" max="1" width="7.7109375" style="106" customWidth="1"/>
    <col min="2" max="2" width="8.42578125" style="4" customWidth="1"/>
    <col min="3" max="3" width="8.42578125" style="5" customWidth="1"/>
    <col min="4" max="4" width="2.5703125" style="1" customWidth="1"/>
    <col min="5" max="5" width="7.140625" style="1" customWidth="1"/>
    <col min="6" max="6" width="8.5703125" style="1" customWidth="1"/>
    <col min="7" max="7" width="6.42578125" style="1" customWidth="1"/>
    <col min="8" max="8" width="4.7109375" style="1" customWidth="1"/>
    <col min="9" max="9" width="27.28515625" style="1" customWidth="1"/>
    <col min="10" max="10" width="2.5703125" style="1" customWidth="1"/>
    <col min="11" max="11" width="18.140625" style="1" customWidth="1"/>
    <col min="12" max="12" width="3.42578125" style="1" customWidth="1"/>
    <col min="13" max="13" width="12.140625" style="1" customWidth="1"/>
    <col min="14" max="14" width="9.5703125" style="1" customWidth="1"/>
    <col min="15" max="15" width="11.85546875" style="1" customWidth="1"/>
    <col min="16" max="16" width="11.28515625" style="1" hidden="1" customWidth="1"/>
    <col min="17" max="19" width="3.85546875" style="1" customWidth="1"/>
    <col min="20" max="20" width="11.7109375" customWidth="1"/>
    <col min="21" max="21" width="12.85546875" customWidth="1"/>
    <col min="22" max="22" width="12" style="1" customWidth="1"/>
    <col min="23" max="23" width="22.140625" style="1" customWidth="1"/>
    <col min="24" max="24" width="12.42578125" style="1" customWidth="1"/>
    <col min="25" max="25" width="9.5703125" style="1"/>
    <col min="26" max="26" width="12.140625" style="1" customWidth="1"/>
    <col min="27" max="28" width="13.85546875" style="1" customWidth="1"/>
    <col min="29" max="29" width="27" style="1" customWidth="1"/>
    <col min="30" max="16384" width="9.5703125" style="1"/>
  </cols>
  <sheetData>
    <row r="1" spans="1:32" s="5" customFormat="1" ht="15.75" x14ac:dyDescent="0.25">
      <c r="A1" s="106"/>
      <c r="B1" s="4"/>
      <c r="C1" s="560" t="s">
        <v>338</v>
      </c>
      <c r="D1" s="561"/>
      <c r="E1" s="561"/>
      <c r="F1" s="561"/>
      <c r="G1" s="562"/>
      <c r="H1"/>
      <c r="I1" s="86" t="s">
        <v>38</v>
      </c>
      <c r="J1" s="153"/>
      <c r="K1" s="560" t="s">
        <v>12</v>
      </c>
      <c r="L1" s="562"/>
      <c r="N1"/>
      <c r="O1"/>
      <c r="P1"/>
      <c r="Q1"/>
      <c r="R1"/>
      <c r="S1"/>
      <c r="T1" s="560" t="s">
        <v>260</v>
      </c>
      <c r="U1" s="561"/>
      <c r="V1" s="562"/>
      <c r="W1"/>
      <c r="X1"/>
      <c r="Y1"/>
      <c r="Z1"/>
      <c r="AA1"/>
      <c r="AB1"/>
      <c r="AC1"/>
    </row>
    <row r="2" spans="1:32" s="5" customFormat="1" ht="15" customHeight="1" x14ac:dyDescent="0.2">
      <c r="A2" s="106"/>
      <c r="B2" s="4"/>
      <c r="C2" s="583">
        <f>'Chart Review Info'!D3</f>
        <v>0</v>
      </c>
      <c r="D2" s="584"/>
      <c r="E2" s="584"/>
      <c r="F2" s="584"/>
      <c r="G2" s="585"/>
      <c r="H2"/>
      <c r="I2" s="150">
        <f>'Chart Review Info'!D4</f>
        <v>0</v>
      </c>
      <c r="J2" s="153"/>
      <c r="K2" s="592">
        <f>'Chart Review Info'!F15</f>
        <v>0</v>
      </c>
      <c r="L2" s="591"/>
      <c r="N2"/>
      <c r="O2"/>
      <c r="P2"/>
      <c r="Q2"/>
      <c r="R2"/>
      <c r="S2"/>
      <c r="T2" s="55">
        <f>'Chart Review Info'!G4</f>
        <v>0</v>
      </c>
      <c r="U2" s="82" t="s">
        <v>261</v>
      </c>
      <c r="V2" s="83">
        <f>'Chart Review Info'!G5</f>
        <v>0</v>
      </c>
      <c r="W2"/>
      <c r="X2"/>
      <c r="Y2"/>
      <c r="Z2"/>
      <c r="AA2"/>
      <c r="AB2"/>
      <c r="AC2"/>
    </row>
    <row r="3" spans="1:32" s="5" customFormat="1" x14ac:dyDescent="0.2">
      <c r="A3" s="106"/>
      <c r="B3" s="4"/>
      <c r="C3" s="84"/>
      <c r="H3"/>
      <c r="J3" s="98"/>
      <c r="W3"/>
      <c r="X3"/>
      <c r="Y3"/>
      <c r="Z3"/>
      <c r="AA3"/>
      <c r="AB3"/>
      <c r="AC3"/>
    </row>
    <row r="4" spans="1:32" s="5" customFormat="1" ht="15.75" x14ac:dyDescent="0.25">
      <c r="A4" s="106"/>
      <c r="B4" s="4"/>
      <c r="C4" s="85" t="s">
        <v>202</v>
      </c>
      <c r="E4" s="85" t="s">
        <v>86</v>
      </c>
      <c r="F4" s="86"/>
      <c r="G4" s="85"/>
      <c r="H4"/>
      <c r="I4" s="151" t="s">
        <v>350</v>
      </c>
      <c r="J4" s="98"/>
      <c r="K4" s="87" t="s">
        <v>260</v>
      </c>
      <c r="L4" s="88"/>
      <c r="O4" s="86" t="s">
        <v>294</v>
      </c>
      <c r="P4"/>
      <c r="Q4"/>
      <c r="R4"/>
      <c r="S4"/>
      <c r="T4" s="85" t="s">
        <v>12</v>
      </c>
      <c r="U4" s="563">
        <f>Prog_2</f>
        <v>0</v>
      </c>
      <c r="V4" s="564"/>
      <c r="W4"/>
      <c r="X4"/>
      <c r="Y4"/>
      <c r="Z4"/>
      <c r="AA4"/>
      <c r="AB4"/>
      <c r="AC4"/>
    </row>
    <row r="5" spans="1:32" s="5" customFormat="1" x14ac:dyDescent="0.2">
      <c r="A5" s="106"/>
      <c r="B5" s="4"/>
      <c r="C5" s="54">
        <v>2</v>
      </c>
      <c r="E5" s="589" t="str">
        <f>'Chart Review Info'!C15</f>
        <v>N/A</v>
      </c>
      <c r="F5" s="590"/>
      <c r="G5" s="591"/>
      <c r="H5"/>
      <c r="I5" s="152">
        <f>Consum_2</f>
        <v>0</v>
      </c>
      <c r="J5" s="98"/>
      <c r="K5" s="293">
        <f>'Chart Review Info'!G4</f>
        <v>0</v>
      </c>
      <c r="L5" s="102" t="s">
        <v>261</v>
      </c>
      <c r="M5" s="293">
        <f>'Chart Review Info'!G5</f>
        <v>0</v>
      </c>
      <c r="O5" s="54">
        <f>'Chart Review Info'!G15</f>
        <v>0</v>
      </c>
      <c r="P5"/>
      <c r="Q5"/>
      <c r="R5"/>
      <c r="S5"/>
      <c r="T5"/>
      <c r="U5"/>
      <c r="W5"/>
      <c r="X5"/>
      <c r="Y5"/>
      <c r="Z5" s="6" t="s">
        <v>514</v>
      </c>
      <c r="AA5"/>
      <c r="AB5"/>
      <c r="AC5"/>
    </row>
    <row r="6" spans="1:32" x14ac:dyDescent="0.2">
      <c r="C6" s="154"/>
      <c r="D6" s="158"/>
      <c r="E6" s="155"/>
      <c r="F6" s="155"/>
      <c r="G6" s="155"/>
      <c r="H6" s="155"/>
      <c r="I6" s="155"/>
      <c r="J6" s="155"/>
      <c r="K6" s="155"/>
      <c r="L6" s="155"/>
      <c r="M6" s="155"/>
      <c r="N6" s="155"/>
      <c r="O6" s="155"/>
      <c r="P6" s="155"/>
      <c r="Q6" s="155"/>
      <c r="R6" s="155"/>
      <c r="S6" s="155"/>
      <c r="U6" s="1"/>
      <c r="X6" s="51"/>
      <c r="Z6" s="329">
        <f>SUM(Z9:Z16)</f>
        <v>0</v>
      </c>
      <c r="AB6" s="13"/>
      <c r="AC6" s="13"/>
    </row>
    <row r="7" spans="1:32" ht="23.25" x14ac:dyDescent="0.25">
      <c r="C7" s="89" t="s">
        <v>262</v>
      </c>
      <c r="D7" s="159"/>
      <c r="E7" s="90"/>
      <c r="F7" s="90"/>
      <c r="G7" s="90"/>
      <c r="H7" s="90"/>
      <c r="I7" s="90"/>
      <c r="J7" s="90"/>
      <c r="K7" s="90"/>
      <c r="L7" s="90"/>
      <c r="M7" s="90"/>
      <c r="N7" s="90"/>
      <c r="O7" s="90"/>
      <c r="P7" s="90"/>
      <c r="T7" s="20"/>
      <c r="U7" s="21"/>
      <c r="V7" s="21"/>
      <c r="W7" s="21"/>
      <c r="X7" s="21"/>
      <c r="Y7" s="160" t="s">
        <v>263</v>
      </c>
      <c r="Z7" s="160"/>
      <c r="AA7" s="160"/>
      <c r="AB7" s="22"/>
      <c r="AC7" s="23"/>
    </row>
    <row r="8" spans="1:32" ht="27" customHeight="1" x14ac:dyDescent="0.25">
      <c r="C8" s="91" t="s">
        <v>264</v>
      </c>
      <c r="D8" s="588" t="s">
        <v>68</v>
      </c>
      <c r="E8" s="574"/>
      <c r="F8" s="574"/>
      <c r="G8" s="574"/>
      <c r="H8" s="574"/>
      <c r="I8" s="574"/>
      <c r="J8" s="574"/>
      <c r="K8" s="574"/>
      <c r="L8" s="574"/>
      <c r="M8" s="574"/>
      <c r="N8" s="574"/>
      <c r="O8" s="92" t="s">
        <v>265</v>
      </c>
      <c r="P8" s="92" t="s">
        <v>266</v>
      </c>
      <c r="Q8" s="359"/>
      <c r="R8" s="359"/>
      <c r="S8" s="359"/>
      <c r="T8" s="7" t="s">
        <v>449</v>
      </c>
      <c r="U8" s="9" t="s">
        <v>87</v>
      </c>
      <c r="V8" s="7" t="s">
        <v>88</v>
      </c>
      <c r="W8" s="7" t="s">
        <v>89</v>
      </c>
      <c r="X8" s="7" t="s">
        <v>90</v>
      </c>
      <c r="Y8" s="7" t="s">
        <v>644</v>
      </c>
      <c r="Z8" s="8" t="s">
        <v>201</v>
      </c>
      <c r="AA8" s="116" t="s">
        <v>91</v>
      </c>
      <c r="AB8" s="117" t="s">
        <v>95</v>
      </c>
      <c r="AC8" s="117" t="s">
        <v>92</v>
      </c>
    </row>
    <row r="9" spans="1:32" ht="60" customHeight="1" x14ac:dyDescent="0.2">
      <c r="A9" s="212" t="s">
        <v>73</v>
      </c>
      <c r="B9" s="93"/>
      <c r="C9" s="94" t="s">
        <v>204</v>
      </c>
      <c r="D9" s="567" t="s">
        <v>658</v>
      </c>
      <c r="E9" s="470"/>
      <c r="F9" s="470"/>
      <c r="G9" s="470"/>
      <c r="H9" s="470"/>
      <c r="I9" s="470"/>
      <c r="J9" s="470"/>
      <c r="K9" s="470"/>
      <c r="L9" s="470"/>
      <c r="M9" s="470"/>
      <c r="N9" s="471"/>
      <c r="O9" s="71"/>
      <c r="P9" s="95" t="str">
        <f t="shared" ref="P9:P12" si="0">IF(O9="","",IF(O9="Yes","Pass",IF(O9="No","Fail","N/A")))</f>
        <v/>
      </c>
      <c r="Q9" s="173"/>
      <c r="R9" s="173"/>
      <c r="S9" s="173"/>
      <c r="T9" s="124"/>
      <c r="U9" s="125"/>
      <c r="V9" s="125"/>
      <c r="W9" s="125"/>
      <c r="X9" s="126"/>
      <c r="Y9" s="125"/>
      <c r="Z9" s="127"/>
      <c r="AA9" s="128"/>
      <c r="AB9" s="129"/>
      <c r="AC9" s="130"/>
      <c r="AD9" s="96"/>
      <c r="AE9" s="96"/>
      <c r="AF9" s="96"/>
    </row>
    <row r="10" spans="1:32" ht="87" customHeight="1" x14ac:dyDescent="0.2">
      <c r="A10" s="107">
        <v>1</v>
      </c>
      <c r="B10" s="93"/>
      <c r="C10" s="94" t="s">
        <v>205</v>
      </c>
      <c r="D10" s="567" t="s">
        <v>528</v>
      </c>
      <c r="E10" s="586"/>
      <c r="F10" s="586"/>
      <c r="G10" s="586"/>
      <c r="H10" s="586"/>
      <c r="I10" s="586"/>
      <c r="J10" s="586"/>
      <c r="K10" s="586"/>
      <c r="L10" s="586"/>
      <c r="M10" s="586"/>
      <c r="N10" s="587"/>
      <c r="O10" s="71"/>
      <c r="P10" s="95" t="str">
        <f t="shared" si="0"/>
        <v/>
      </c>
      <c r="Q10" s="173"/>
      <c r="R10" s="173"/>
      <c r="S10" s="173"/>
      <c r="T10" s="124"/>
      <c r="U10" s="124"/>
      <c r="V10" s="124"/>
      <c r="W10" s="125"/>
      <c r="X10" s="131"/>
      <c r="Y10" s="124"/>
      <c r="Z10" s="127"/>
      <c r="AA10" s="128"/>
      <c r="AB10" s="129"/>
      <c r="AC10" s="129"/>
    </row>
    <row r="11" spans="1:32" ht="50.25" customHeight="1" x14ac:dyDescent="0.2">
      <c r="A11" s="107" t="s">
        <v>70</v>
      </c>
      <c r="B11" s="93"/>
      <c r="C11" s="94" t="s">
        <v>206</v>
      </c>
      <c r="D11" s="567" t="s">
        <v>529</v>
      </c>
      <c r="E11" s="586"/>
      <c r="F11" s="586"/>
      <c r="G11" s="586"/>
      <c r="H11" s="586"/>
      <c r="I11" s="586"/>
      <c r="J11" s="586"/>
      <c r="K11" s="586"/>
      <c r="L11" s="586"/>
      <c r="M11" s="586"/>
      <c r="N11" s="587"/>
      <c r="O11" s="71"/>
      <c r="P11" s="95" t="str">
        <f t="shared" si="0"/>
        <v/>
      </c>
      <c r="Q11" s="173"/>
      <c r="R11" s="173"/>
      <c r="S11" s="173"/>
      <c r="T11" s="124"/>
      <c r="U11" s="124"/>
      <c r="V11" s="124"/>
      <c r="W11" s="125"/>
      <c r="X11" s="131"/>
      <c r="Y11" s="124"/>
      <c r="Z11" s="127"/>
      <c r="AA11" s="128"/>
      <c r="AB11" s="129"/>
      <c r="AC11" s="129"/>
    </row>
    <row r="12" spans="1:32" ht="33.75" customHeight="1" x14ac:dyDescent="0.2">
      <c r="A12" s="106">
        <v>1</v>
      </c>
      <c r="C12" s="94" t="s">
        <v>207</v>
      </c>
      <c r="D12" s="567" t="s">
        <v>659</v>
      </c>
      <c r="E12" s="586"/>
      <c r="F12" s="586"/>
      <c r="G12" s="586"/>
      <c r="H12" s="586"/>
      <c r="I12" s="586"/>
      <c r="J12" s="586"/>
      <c r="K12" s="586"/>
      <c r="L12" s="586"/>
      <c r="M12" s="586"/>
      <c r="N12" s="587"/>
      <c r="O12" s="71"/>
      <c r="P12" s="95" t="str">
        <f t="shared" si="0"/>
        <v/>
      </c>
      <c r="Q12" s="173"/>
      <c r="R12" s="173"/>
      <c r="S12" s="173"/>
      <c r="T12" s="124"/>
      <c r="U12" s="124"/>
      <c r="V12" s="124"/>
      <c r="W12" s="125"/>
      <c r="X12" s="131"/>
      <c r="Y12" s="124"/>
      <c r="Z12" s="127"/>
      <c r="AA12" s="128"/>
      <c r="AB12" s="129"/>
      <c r="AC12" s="129"/>
    </row>
    <row r="13" spans="1:32" ht="36" customHeight="1" x14ac:dyDescent="0.2">
      <c r="A13" s="107">
        <v>1</v>
      </c>
      <c r="B13" s="93"/>
      <c r="C13" s="97" t="s">
        <v>208</v>
      </c>
      <c r="D13" s="567" t="s">
        <v>656</v>
      </c>
      <c r="E13" s="470"/>
      <c r="F13" s="470"/>
      <c r="G13" s="470"/>
      <c r="H13" s="470"/>
      <c r="I13" s="470"/>
      <c r="J13" s="470"/>
      <c r="K13" s="470"/>
      <c r="L13" s="470"/>
      <c r="M13" s="470"/>
      <c r="N13" s="471"/>
      <c r="O13" s="71"/>
      <c r="P13" s="95" t="str">
        <f t="shared" ref="P13:P19" si="1">IF(O13="","",IF(O13="Yes","Pass",IF(O13="No","Fail","N/A")))</f>
        <v/>
      </c>
      <c r="Q13" s="173"/>
      <c r="R13" s="173"/>
      <c r="S13" s="173"/>
      <c r="T13" s="124"/>
      <c r="U13" s="124"/>
      <c r="V13" s="124"/>
      <c r="W13" s="125"/>
      <c r="X13" s="131"/>
      <c r="Y13" s="124"/>
      <c r="Z13" s="127"/>
      <c r="AA13" s="128"/>
      <c r="AB13" s="129"/>
      <c r="AC13" s="129"/>
    </row>
    <row r="14" spans="1:32" ht="46.5" customHeight="1" x14ac:dyDescent="0.2">
      <c r="A14" s="107" t="s">
        <v>70</v>
      </c>
      <c r="B14" s="93"/>
      <c r="C14" s="97" t="s">
        <v>209</v>
      </c>
      <c r="D14" s="567" t="s">
        <v>530</v>
      </c>
      <c r="E14" s="586"/>
      <c r="F14" s="586"/>
      <c r="G14" s="586"/>
      <c r="H14" s="586"/>
      <c r="I14" s="586"/>
      <c r="J14" s="586"/>
      <c r="K14" s="586"/>
      <c r="L14" s="586"/>
      <c r="M14" s="586"/>
      <c r="N14" s="587"/>
      <c r="O14" s="71"/>
      <c r="P14" s="95" t="str">
        <f t="shared" si="1"/>
        <v/>
      </c>
      <c r="Q14" s="173"/>
      <c r="R14" s="173"/>
      <c r="S14" s="173"/>
      <c r="T14" s="124"/>
      <c r="U14" s="124"/>
      <c r="V14" s="124"/>
      <c r="W14" s="125"/>
      <c r="X14" s="131"/>
      <c r="Y14" s="124"/>
      <c r="Z14" s="127"/>
      <c r="AA14" s="128"/>
      <c r="AB14" s="129"/>
      <c r="AC14" s="129"/>
    </row>
    <row r="15" spans="1:32" ht="49.5" customHeight="1" x14ac:dyDescent="0.2">
      <c r="A15" s="107">
        <v>1</v>
      </c>
      <c r="B15" s="93"/>
      <c r="C15" s="94" t="s">
        <v>210</v>
      </c>
      <c r="D15" s="567" t="s">
        <v>531</v>
      </c>
      <c r="E15" s="586"/>
      <c r="F15" s="586"/>
      <c r="G15" s="586"/>
      <c r="H15" s="586"/>
      <c r="I15" s="586"/>
      <c r="J15" s="586"/>
      <c r="K15" s="586"/>
      <c r="L15" s="586"/>
      <c r="M15" s="586"/>
      <c r="N15" s="587"/>
      <c r="O15" s="71"/>
      <c r="P15" s="95" t="str">
        <f t="shared" si="1"/>
        <v/>
      </c>
      <c r="Q15" s="173"/>
      <c r="R15" s="173"/>
      <c r="S15" s="173"/>
      <c r="T15" s="124"/>
      <c r="U15" s="124"/>
      <c r="V15" s="124"/>
      <c r="W15" s="125"/>
      <c r="X15" s="131"/>
      <c r="Y15" s="124"/>
      <c r="Z15" s="127"/>
      <c r="AA15" s="128"/>
      <c r="AB15" s="129"/>
      <c r="AC15" s="129"/>
    </row>
    <row r="16" spans="1:32" ht="66.75" customHeight="1" x14ac:dyDescent="0.2">
      <c r="A16" s="106">
        <v>1</v>
      </c>
      <c r="C16" s="97" t="s">
        <v>211</v>
      </c>
      <c r="D16" s="567" t="s">
        <v>532</v>
      </c>
      <c r="E16" s="586"/>
      <c r="F16" s="586"/>
      <c r="G16" s="586"/>
      <c r="H16" s="586"/>
      <c r="I16" s="586"/>
      <c r="J16" s="586"/>
      <c r="K16" s="586"/>
      <c r="L16" s="586"/>
      <c r="M16" s="586"/>
      <c r="N16" s="587"/>
      <c r="O16" s="71"/>
      <c r="P16" s="95" t="str">
        <f t="shared" si="1"/>
        <v/>
      </c>
      <c r="Q16" s="173"/>
      <c r="R16" s="173"/>
      <c r="S16" s="173"/>
      <c r="T16" s="124"/>
      <c r="U16" s="124"/>
      <c r="V16" s="124"/>
      <c r="W16" s="125"/>
      <c r="X16" s="131"/>
      <c r="Y16" s="124"/>
      <c r="Z16" s="127"/>
      <c r="AA16" s="128"/>
      <c r="AB16" s="129"/>
      <c r="AC16" s="129"/>
    </row>
    <row r="17" spans="1:29" ht="39" customHeight="1" x14ac:dyDescent="0.2">
      <c r="A17" s="107" t="s">
        <v>70</v>
      </c>
      <c r="B17" s="93"/>
      <c r="C17" s="97" t="s">
        <v>212</v>
      </c>
      <c r="D17" s="567" t="s">
        <v>533</v>
      </c>
      <c r="E17" s="586"/>
      <c r="F17" s="586"/>
      <c r="G17" s="586"/>
      <c r="H17" s="586"/>
      <c r="I17" s="586"/>
      <c r="J17" s="586"/>
      <c r="K17" s="586"/>
      <c r="L17" s="586"/>
      <c r="M17" s="586"/>
      <c r="N17" s="587"/>
      <c r="O17" s="71"/>
      <c r="P17" s="95" t="str">
        <f t="shared" si="1"/>
        <v/>
      </c>
      <c r="Q17" s="173"/>
      <c r="R17" s="173"/>
      <c r="S17" s="173"/>
      <c r="T17" s="124"/>
      <c r="U17" s="124"/>
      <c r="V17" s="124"/>
      <c r="W17" s="125"/>
      <c r="X17" s="131"/>
      <c r="Y17" s="124"/>
      <c r="Z17" s="127"/>
      <c r="AA17" s="128"/>
      <c r="AB17" s="129"/>
      <c r="AC17" s="129"/>
    </row>
    <row r="18" spans="1:29" ht="83.25" customHeight="1" x14ac:dyDescent="0.2">
      <c r="A18" s="107" t="s">
        <v>70</v>
      </c>
      <c r="B18" s="93"/>
      <c r="C18" s="94" t="s">
        <v>657</v>
      </c>
      <c r="D18" s="567" t="s">
        <v>534</v>
      </c>
      <c r="E18" s="586"/>
      <c r="F18" s="586"/>
      <c r="G18" s="586"/>
      <c r="H18" s="586"/>
      <c r="I18" s="586"/>
      <c r="J18" s="586"/>
      <c r="K18" s="586"/>
      <c r="L18" s="586"/>
      <c r="M18" s="586"/>
      <c r="N18" s="587"/>
      <c r="O18" s="71"/>
      <c r="P18" s="95" t="str">
        <f t="shared" si="1"/>
        <v/>
      </c>
      <c r="Q18" s="173"/>
      <c r="R18" s="173"/>
      <c r="S18" s="173"/>
      <c r="T18" s="124"/>
      <c r="U18" s="124"/>
      <c r="V18" s="124"/>
      <c r="W18" s="125"/>
      <c r="X18" s="131"/>
      <c r="Y18" s="124"/>
      <c r="Z18" s="127"/>
      <c r="AA18" s="128"/>
      <c r="AB18" s="129"/>
      <c r="AC18" s="129"/>
    </row>
    <row r="19" spans="1:29" ht="47.25" customHeight="1" x14ac:dyDescent="0.2">
      <c r="A19" s="107" t="s">
        <v>81</v>
      </c>
      <c r="B19" s="93"/>
      <c r="C19" s="391" t="s">
        <v>213</v>
      </c>
      <c r="D19" s="571" t="s">
        <v>535</v>
      </c>
      <c r="E19" s="572"/>
      <c r="F19" s="572"/>
      <c r="G19" s="572"/>
      <c r="H19" s="572"/>
      <c r="I19" s="572"/>
      <c r="J19" s="572"/>
      <c r="K19" s="572"/>
      <c r="L19" s="572"/>
      <c r="M19" s="572"/>
      <c r="N19" s="572"/>
      <c r="O19" s="71"/>
      <c r="P19" s="95" t="str">
        <f t="shared" si="1"/>
        <v/>
      </c>
      <c r="Q19" s="173"/>
      <c r="R19" s="173"/>
      <c r="S19" s="173"/>
      <c r="T19" s="124"/>
      <c r="U19" s="124"/>
      <c r="V19" s="124"/>
      <c r="W19" s="125"/>
      <c r="X19" s="131"/>
      <c r="Y19" s="124"/>
      <c r="Z19" s="127"/>
      <c r="AA19" s="128"/>
      <c r="AB19" s="129"/>
      <c r="AC19" s="129"/>
    </row>
    <row r="20" spans="1:29" ht="22.5" customHeight="1" x14ac:dyDescent="0.2">
      <c r="A20" s="106">
        <v>1</v>
      </c>
      <c r="B20" s="93"/>
      <c r="C20" s="575" t="s">
        <v>267</v>
      </c>
      <c r="D20" s="470"/>
      <c r="E20" s="470"/>
      <c r="F20" s="470"/>
      <c r="G20" s="470"/>
      <c r="H20" s="470"/>
      <c r="I20" s="470"/>
      <c r="J20" s="470"/>
      <c r="K20" s="470"/>
      <c r="L20" s="470"/>
      <c r="M20" s="470"/>
      <c r="N20" s="470"/>
      <c r="O20"/>
      <c r="P20" s="392"/>
      <c r="Q20" s="174"/>
      <c r="R20" s="174"/>
      <c r="S20" s="174"/>
      <c r="T20" s="124"/>
      <c r="U20" s="124"/>
      <c r="V20" s="124"/>
      <c r="W20" s="125"/>
      <c r="X20" s="131"/>
      <c r="Y20" s="124"/>
      <c r="Z20" s="127"/>
      <c r="AA20" s="128"/>
      <c r="AB20" s="129"/>
      <c r="AC20" s="129"/>
    </row>
    <row r="21" spans="1:29" ht="30.75" customHeight="1" x14ac:dyDescent="0.2">
      <c r="A21" s="107" t="s">
        <v>73</v>
      </c>
      <c r="C21" s="581" t="s">
        <v>17</v>
      </c>
      <c r="D21" s="470"/>
      <c r="E21" s="470"/>
      <c r="F21" s="470"/>
      <c r="G21" s="470"/>
      <c r="H21" s="470"/>
      <c r="I21" s="470"/>
      <c r="J21" s="470"/>
      <c r="K21" s="470"/>
      <c r="L21" s="470"/>
      <c r="M21" s="470"/>
      <c r="N21" s="471"/>
      <c r="O21" s="345"/>
      <c r="P21" s="343"/>
      <c r="Q21" s="172"/>
      <c r="R21" s="172"/>
      <c r="S21" s="172"/>
      <c r="T21" s="124"/>
      <c r="U21" s="124"/>
      <c r="V21" s="124"/>
      <c r="W21" s="125"/>
      <c r="X21" s="131"/>
      <c r="Y21" s="124"/>
      <c r="Z21" s="132"/>
      <c r="AA21" s="128"/>
      <c r="AB21" s="129"/>
      <c r="AC21" s="129"/>
    </row>
    <row r="22" spans="1:29" ht="18" customHeight="1" x14ac:dyDescent="0.25">
      <c r="C22" s="100" t="s">
        <v>264</v>
      </c>
      <c r="D22" s="573" t="s">
        <v>71</v>
      </c>
      <c r="E22" s="574"/>
      <c r="F22" s="574"/>
      <c r="G22" s="574"/>
      <c r="H22" s="574"/>
      <c r="I22" s="574"/>
      <c r="J22" s="574"/>
      <c r="K22" s="574"/>
      <c r="L22" s="574"/>
      <c r="M22" s="574"/>
      <c r="N22" s="440"/>
      <c r="O22" s="101" t="s">
        <v>265</v>
      </c>
      <c r="P22" s="101" t="s">
        <v>266</v>
      </c>
      <c r="Q22" s="359"/>
      <c r="R22" s="359"/>
      <c r="S22" s="359"/>
      <c r="T22" s="124"/>
      <c r="U22" s="124"/>
      <c r="V22" s="124"/>
      <c r="W22" s="125"/>
      <c r="X22" s="131"/>
      <c r="Y22" s="124"/>
      <c r="Z22" s="127"/>
      <c r="AA22" s="128"/>
      <c r="AB22" s="129"/>
      <c r="AC22" s="129"/>
    </row>
    <row r="23" spans="1:29" ht="18" customHeight="1" x14ac:dyDescent="0.2">
      <c r="A23" s="106">
        <v>1</v>
      </c>
      <c r="C23" s="102" t="s">
        <v>215</v>
      </c>
      <c r="D23" s="567" t="s">
        <v>268</v>
      </c>
      <c r="E23" s="470"/>
      <c r="F23" s="470"/>
      <c r="G23" s="470"/>
      <c r="H23" s="470"/>
      <c r="I23" s="470"/>
      <c r="J23" s="470"/>
      <c r="K23" s="470"/>
      <c r="L23" s="470"/>
      <c r="M23" s="470"/>
      <c r="N23" s="471"/>
      <c r="O23" s="71"/>
      <c r="P23" s="95" t="str">
        <f>IF(O23="","",IF(O23="Yes","Pass",IF(O23="No","Fail","N/A")))</f>
        <v/>
      </c>
      <c r="Q23" s="173"/>
      <c r="R23" s="173"/>
      <c r="S23" s="173"/>
      <c r="T23" s="124"/>
      <c r="U23" s="124"/>
      <c r="V23" s="124"/>
      <c r="W23" s="125"/>
      <c r="X23" s="131"/>
      <c r="Y23" s="124"/>
      <c r="Z23" s="127"/>
      <c r="AA23" s="128"/>
      <c r="AB23" s="129"/>
      <c r="AC23" s="129"/>
    </row>
    <row r="24" spans="1:29" ht="45" customHeight="1" x14ac:dyDescent="0.2">
      <c r="A24" s="107" t="s">
        <v>69</v>
      </c>
      <c r="C24" s="97" t="s">
        <v>216</v>
      </c>
      <c r="D24" s="567" t="s">
        <v>269</v>
      </c>
      <c r="E24" s="470"/>
      <c r="F24" s="470"/>
      <c r="G24" s="470"/>
      <c r="H24" s="470"/>
      <c r="I24" s="470"/>
      <c r="J24" s="470"/>
      <c r="K24" s="470"/>
      <c r="L24" s="470"/>
      <c r="M24" s="470"/>
      <c r="N24" s="471"/>
      <c r="O24" s="71"/>
      <c r="P24" s="95" t="str">
        <f>IF(O24="","",IF(O24="Yes","Pass",IF(O24="No","Fail","N/A")))</f>
        <v/>
      </c>
      <c r="Q24" s="173"/>
      <c r="R24" s="173"/>
      <c r="S24" s="173"/>
      <c r="T24" s="124"/>
      <c r="U24" s="124"/>
      <c r="V24" s="124"/>
      <c r="W24" s="125"/>
      <c r="X24" s="131"/>
      <c r="Y24" s="124"/>
      <c r="Z24" s="127"/>
      <c r="AA24" s="128"/>
      <c r="AB24" s="129"/>
      <c r="AC24" s="129"/>
    </row>
    <row r="25" spans="1:29" ht="45" customHeight="1" x14ac:dyDescent="0.2">
      <c r="A25" s="107" t="s">
        <v>69</v>
      </c>
      <c r="B25" s="93"/>
      <c r="C25" s="97" t="s">
        <v>217</v>
      </c>
      <c r="D25" s="567" t="s">
        <v>270</v>
      </c>
      <c r="E25" s="470"/>
      <c r="F25" s="470"/>
      <c r="G25" s="470"/>
      <c r="H25" s="470"/>
      <c r="I25" s="470"/>
      <c r="J25" s="470"/>
      <c r="K25" s="470"/>
      <c r="L25" s="470"/>
      <c r="M25" s="470"/>
      <c r="N25" s="471"/>
      <c r="O25" s="71"/>
      <c r="P25" s="95" t="str">
        <f>IF(O25="","",IF(O25="Yes","Pass",IF(O25="No","Fail","N/A")))</f>
        <v/>
      </c>
      <c r="Q25" s="173"/>
      <c r="R25" s="173"/>
      <c r="S25" s="173"/>
      <c r="T25" s="124"/>
      <c r="U25" s="124"/>
      <c r="V25" s="124"/>
      <c r="W25" s="125"/>
      <c r="X25" s="131"/>
      <c r="Y25" s="124"/>
      <c r="Z25" s="127"/>
      <c r="AA25" s="128"/>
      <c r="AB25" s="129"/>
      <c r="AC25" s="129"/>
    </row>
    <row r="26" spans="1:29" ht="51.75" customHeight="1" x14ac:dyDescent="0.2">
      <c r="A26" s="107" t="s">
        <v>69</v>
      </c>
      <c r="B26" s="93"/>
      <c r="C26" s="97" t="s">
        <v>218</v>
      </c>
      <c r="D26" s="567" t="s">
        <v>271</v>
      </c>
      <c r="E26" s="470"/>
      <c r="F26" s="470"/>
      <c r="G26" s="470"/>
      <c r="H26" s="470"/>
      <c r="I26" s="470"/>
      <c r="J26" s="470"/>
      <c r="K26" s="470"/>
      <c r="L26" s="470"/>
      <c r="M26" s="470"/>
      <c r="N26" s="470"/>
      <c r="O26" s="71"/>
      <c r="P26" s="95" t="str">
        <f>IF(O26="","",IF(O26="Yes","Pass",IF(O26="No","Fail","N/A")))</f>
        <v/>
      </c>
      <c r="Q26" s="173"/>
      <c r="R26" s="173"/>
      <c r="S26" s="173"/>
      <c r="T26" s="124"/>
      <c r="U26" s="124"/>
      <c r="V26" s="124"/>
      <c r="W26" s="125"/>
      <c r="X26" s="131"/>
      <c r="Y26" s="124"/>
      <c r="Z26" s="127"/>
      <c r="AA26" s="128"/>
      <c r="AB26" s="129"/>
      <c r="AC26" s="129"/>
    </row>
    <row r="27" spans="1:29" ht="22.5" customHeight="1" x14ac:dyDescent="0.2">
      <c r="A27" s="106">
        <v>1</v>
      </c>
      <c r="B27" s="93"/>
      <c r="C27" s="580" t="s">
        <v>272</v>
      </c>
      <c r="D27" s="470"/>
      <c r="E27" s="470"/>
      <c r="F27" s="470"/>
      <c r="G27" s="470"/>
      <c r="H27" s="470"/>
      <c r="I27" s="470"/>
      <c r="J27" s="470"/>
      <c r="K27" s="470"/>
      <c r="L27" s="470"/>
      <c r="M27" s="470"/>
      <c r="N27" s="470"/>
      <c r="O27" s="341"/>
      <c r="Q27" s="123"/>
      <c r="R27" s="123"/>
      <c r="S27" s="123"/>
      <c r="T27" s="124"/>
      <c r="U27" s="124"/>
      <c r="V27" s="124"/>
      <c r="W27" s="125"/>
      <c r="X27" s="131"/>
      <c r="Y27" s="124"/>
      <c r="Z27" s="127"/>
      <c r="AA27" s="128"/>
      <c r="AB27" s="129"/>
      <c r="AC27" s="129"/>
    </row>
    <row r="28" spans="1:29" ht="29.25" customHeight="1" x14ac:dyDescent="0.2">
      <c r="A28" s="107" t="s">
        <v>73</v>
      </c>
      <c r="C28" s="581" t="s">
        <v>17</v>
      </c>
      <c r="D28" s="470"/>
      <c r="E28" s="470"/>
      <c r="F28" s="470"/>
      <c r="G28" s="470"/>
      <c r="H28" s="470"/>
      <c r="I28" s="470"/>
      <c r="J28" s="470"/>
      <c r="K28" s="470"/>
      <c r="L28" s="470"/>
      <c r="M28" s="470"/>
      <c r="N28" s="470"/>
      <c r="O28" s="345"/>
      <c r="P28" s="340"/>
      <c r="Q28" s="123"/>
      <c r="R28" s="123"/>
      <c r="S28" s="123"/>
      <c r="T28" s="124"/>
      <c r="U28" s="124"/>
      <c r="V28" s="124"/>
      <c r="W28" s="125"/>
      <c r="X28" s="131"/>
      <c r="Y28" s="133"/>
      <c r="Z28" s="132"/>
      <c r="AA28" s="128"/>
      <c r="AB28" s="129"/>
      <c r="AC28" s="129"/>
    </row>
    <row r="29" spans="1:29" ht="24" customHeight="1" x14ac:dyDescent="0.25">
      <c r="C29" s="100" t="s">
        <v>264</v>
      </c>
      <c r="D29" s="573" t="s">
        <v>465</v>
      </c>
      <c r="E29" s="574"/>
      <c r="F29" s="574"/>
      <c r="G29" s="574"/>
      <c r="H29" s="574"/>
      <c r="I29" s="574"/>
      <c r="J29" s="574"/>
      <c r="K29" s="574"/>
      <c r="L29" s="574"/>
      <c r="M29" s="574"/>
      <c r="N29" s="574"/>
      <c r="O29" s="101" t="s">
        <v>265</v>
      </c>
      <c r="P29" s="101" t="s">
        <v>266</v>
      </c>
      <c r="Q29" s="359"/>
      <c r="R29" s="359"/>
      <c r="S29" s="359"/>
      <c r="T29" s="124"/>
      <c r="U29" s="124"/>
      <c r="V29" s="124"/>
      <c r="W29" s="125"/>
      <c r="X29" s="131"/>
      <c r="Y29" s="133"/>
      <c r="Z29" s="132"/>
      <c r="AA29" s="128"/>
      <c r="AB29" s="129"/>
      <c r="AC29" s="129"/>
    </row>
    <row r="30" spans="1:29" ht="66" customHeight="1" x14ac:dyDescent="0.2">
      <c r="A30" s="107" t="s">
        <v>69</v>
      </c>
      <c r="C30" s="102" t="s">
        <v>466</v>
      </c>
      <c r="D30" s="567" t="s">
        <v>467</v>
      </c>
      <c r="E30" s="572"/>
      <c r="F30" s="572"/>
      <c r="G30" s="572"/>
      <c r="H30" s="572"/>
      <c r="I30" s="572"/>
      <c r="J30" s="572"/>
      <c r="K30" s="572"/>
      <c r="L30" s="572"/>
      <c r="M30" s="572"/>
      <c r="N30" s="572"/>
      <c r="O30" s="71"/>
      <c r="P30" s="95" t="str">
        <f t="shared" ref="P30:P31" si="2">IF(O30="","",IF(O30="Yes","Pass",IF(O30="No","Fail","N/A")))</f>
        <v/>
      </c>
      <c r="Q30" s="173"/>
      <c r="R30" s="173"/>
      <c r="S30" s="173"/>
      <c r="T30" s="124"/>
      <c r="U30" s="124"/>
      <c r="V30" s="124"/>
      <c r="W30" s="125"/>
      <c r="X30" s="131"/>
      <c r="Y30" s="133"/>
      <c r="Z30" s="132"/>
      <c r="AA30" s="128"/>
      <c r="AB30" s="129"/>
      <c r="AC30" s="129"/>
    </row>
    <row r="31" spans="1:29" ht="33.75" customHeight="1" x14ac:dyDescent="0.2">
      <c r="A31" s="107" t="s">
        <v>73</v>
      </c>
      <c r="B31" s="93"/>
      <c r="C31" s="102" t="s">
        <v>471</v>
      </c>
      <c r="D31" s="579" t="s">
        <v>468</v>
      </c>
      <c r="E31" s="572"/>
      <c r="F31" s="572"/>
      <c r="G31" s="572"/>
      <c r="H31" s="572"/>
      <c r="I31" s="572"/>
      <c r="J31" s="572"/>
      <c r="K31" s="572"/>
      <c r="L31" s="572"/>
      <c r="M31" s="572"/>
      <c r="N31" s="572"/>
      <c r="O31" s="71"/>
      <c r="P31" s="95" t="str">
        <f t="shared" si="2"/>
        <v/>
      </c>
      <c r="Q31" s="173"/>
      <c r="R31" s="173"/>
      <c r="S31" s="173"/>
      <c r="T31" s="124"/>
      <c r="U31" s="124"/>
      <c r="V31" s="124"/>
      <c r="W31" s="125"/>
      <c r="X31" s="131"/>
      <c r="Y31" s="133"/>
      <c r="Z31" s="132"/>
      <c r="AA31" s="128"/>
      <c r="AB31" s="129"/>
      <c r="AC31" s="129"/>
    </row>
    <row r="32" spans="1:29" ht="45" customHeight="1" x14ac:dyDescent="0.2">
      <c r="A32" s="107" t="s">
        <v>69</v>
      </c>
      <c r="B32" s="93"/>
      <c r="C32" s="102" t="s">
        <v>472</v>
      </c>
      <c r="D32" s="579" t="s">
        <v>469</v>
      </c>
      <c r="E32" s="572"/>
      <c r="F32" s="572"/>
      <c r="G32" s="572"/>
      <c r="H32" s="572"/>
      <c r="I32" s="572"/>
      <c r="J32" s="572"/>
      <c r="K32" s="572"/>
      <c r="L32" s="572"/>
      <c r="M32" s="572"/>
      <c r="N32" s="572"/>
      <c r="O32" s="71"/>
      <c r="P32" s="95" t="str">
        <f>IF(O32="","",IF(O32="Yes","Pass",IF(O32="No","Fail","N/A")))</f>
        <v/>
      </c>
      <c r="Q32" s="173"/>
      <c r="R32" s="173"/>
      <c r="S32" s="173"/>
      <c r="T32" s="124"/>
      <c r="U32" s="124"/>
      <c r="V32" s="124"/>
      <c r="W32" s="125"/>
      <c r="X32" s="131"/>
      <c r="Y32" s="133"/>
      <c r="Z32" s="132"/>
      <c r="AA32" s="128"/>
      <c r="AB32" s="129"/>
      <c r="AC32" s="129"/>
    </row>
    <row r="33" spans="1:29" ht="30" customHeight="1" x14ac:dyDescent="0.2">
      <c r="A33" s="107" t="s">
        <v>70</v>
      </c>
      <c r="B33" s="93"/>
      <c r="C33" s="102" t="s">
        <v>473</v>
      </c>
      <c r="D33" s="579" t="s">
        <v>470</v>
      </c>
      <c r="E33" s="572"/>
      <c r="F33" s="572"/>
      <c r="G33" s="572"/>
      <c r="H33" s="572"/>
      <c r="I33" s="572"/>
      <c r="J33" s="572"/>
      <c r="K33" s="572"/>
      <c r="L33" s="572"/>
      <c r="M33" s="572"/>
      <c r="N33" s="572"/>
      <c r="O33" s="71"/>
      <c r="P33" s="95" t="str">
        <f>IF(O33="","",IF(O33="Yes","Pass",IF(O33="No","Fail","N/A")))</f>
        <v/>
      </c>
      <c r="Q33" s="173"/>
      <c r="R33" s="173"/>
      <c r="S33" s="173"/>
      <c r="T33" s="124"/>
      <c r="U33" s="124"/>
      <c r="V33" s="124"/>
      <c r="W33" s="125"/>
      <c r="X33" s="131"/>
      <c r="Y33" s="133"/>
      <c r="Z33" s="132"/>
      <c r="AA33" s="128"/>
      <c r="AB33" s="129"/>
      <c r="AC33" s="129"/>
    </row>
    <row r="34" spans="1:29" ht="24" customHeight="1" x14ac:dyDescent="0.2">
      <c r="A34" s="107" t="s">
        <v>69</v>
      </c>
      <c r="B34" s="93"/>
      <c r="C34" s="580" t="s">
        <v>545</v>
      </c>
      <c r="D34" s="470"/>
      <c r="E34" s="470"/>
      <c r="F34" s="470"/>
      <c r="G34" s="470"/>
      <c r="H34" s="470"/>
      <c r="I34" s="470"/>
      <c r="J34" s="470"/>
      <c r="K34" s="470"/>
      <c r="L34" s="470"/>
      <c r="M34" s="470"/>
      <c r="N34" s="470"/>
      <c r="O34" s="341"/>
      <c r="Q34" s="359"/>
      <c r="T34" s="124"/>
      <c r="U34" s="124"/>
      <c r="V34" s="124"/>
      <c r="W34" s="125"/>
      <c r="X34" s="131"/>
      <c r="Y34" s="133"/>
      <c r="Z34" s="132"/>
      <c r="AA34" s="128"/>
      <c r="AB34" s="129"/>
      <c r="AC34" s="129"/>
    </row>
    <row r="35" spans="1:29" ht="27.75" customHeight="1" x14ac:dyDescent="0.2">
      <c r="A35" s="107" t="s">
        <v>69</v>
      </c>
      <c r="B35" s="93"/>
      <c r="C35" s="581" t="s">
        <v>17</v>
      </c>
      <c r="D35" s="470"/>
      <c r="E35" s="470"/>
      <c r="F35" s="470"/>
      <c r="G35" s="470"/>
      <c r="H35" s="470"/>
      <c r="I35" s="470"/>
      <c r="J35" s="470"/>
      <c r="K35" s="470"/>
      <c r="L35" s="470"/>
      <c r="M35" s="470"/>
      <c r="N35" s="470"/>
      <c r="O35" s="345"/>
      <c r="Q35" s="173"/>
      <c r="R35"/>
      <c r="S35"/>
      <c r="V35"/>
      <c r="W35"/>
      <c r="X35"/>
      <c r="Y35"/>
      <c r="Z35"/>
      <c r="AA35"/>
      <c r="AB35"/>
      <c r="AC35"/>
    </row>
    <row r="36" spans="1:29" ht="24.75" customHeight="1" x14ac:dyDescent="0.25">
      <c r="A36" s="107" t="s">
        <v>70</v>
      </c>
      <c r="B36" s="93"/>
      <c r="C36" s="100" t="s">
        <v>264</v>
      </c>
      <c r="D36" s="573" t="s">
        <v>72</v>
      </c>
      <c r="E36" s="574"/>
      <c r="F36" s="574"/>
      <c r="G36" s="574"/>
      <c r="H36" s="574"/>
      <c r="I36" s="574"/>
      <c r="J36" s="574"/>
      <c r="K36" s="574"/>
      <c r="L36" s="574"/>
      <c r="M36" s="574"/>
      <c r="N36" s="440"/>
      <c r="O36" s="101" t="s">
        <v>265</v>
      </c>
      <c r="P36" s="101" t="s">
        <v>266</v>
      </c>
      <c r="Q36" s="173"/>
      <c r="R36"/>
      <c r="S36"/>
      <c r="V36"/>
      <c r="W36"/>
      <c r="X36"/>
      <c r="Y36"/>
      <c r="Z36"/>
      <c r="AA36"/>
      <c r="AB36"/>
      <c r="AC36"/>
    </row>
    <row r="37" spans="1:29" ht="31.5" customHeight="1" x14ac:dyDescent="0.2">
      <c r="A37" s="107" t="s">
        <v>73</v>
      </c>
      <c r="B37" s="93"/>
      <c r="C37" s="103" t="s">
        <v>220</v>
      </c>
      <c r="D37" s="445" t="s">
        <v>544</v>
      </c>
      <c r="E37" s="568"/>
      <c r="F37" s="568"/>
      <c r="G37" s="568"/>
      <c r="H37" s="568"/>
      <c r="I37" s="568"/>
      <c r="J37" s="568"/>
      <c r="K37" s="568"/>
      <c r="L37" s="568"/>
      <c r="M37" s="568"/>
      <c r="N37" s="569"/>
      <c r="O37" s="71"/>
      <c r="P37" s="95" t="str">
        <f>IF(O37="","",IF(O37="Yes","Pass",IF(O37="No","Fail","N/A")))</f>
        <v/>
      </c>
      <c r="Q37" s="173"/>
      <c r="R37"/>
      <c r="S37"/>
      <c r="V37"/>
      <c r="W37"/>
      <c r="X37"/>
      <c r="Y37"/>
      <c r="Z37"/>
      <c r="AA37"/>
      <c r="AB37"/>
      <c r="AC37"/>
    </row>
    <row r="38" spans="1:29" ht="30" customHeight="1" x14ac:dyDescent="0.2">
      <c r="A38" s="107" t="s">
        <v>70</v>
      </c>
      <c r="B38" s="93"/>
      <c r="C38" s="185"/>
      <c r="D38" s="296" t="s">
        <v>351</v>
      </c>
      <c r="E38" s="297"/>
      <c r="F38" s="298"/>
      <c r="G38" s="299"/>
      <c r="I38" s="300" t="s">
        <v>352</v>
      </c>
      <c r="J38" s="299"/>
      <c r="K38" s="301" t="s">
        <v>353</v>
      </c>
      <c r="L38" s="191"/>
      <c r="M38" s="302"/>
      <c r="N38" s="303" t="e">
        <f>J38/G38</f>
        <v>#DIV/0!</v>
      </c>
      <c r="Q38" s="173"/>
      <c r="R38"/>
      <c r="S38"/>
      <c r="V38"/>
      <c r="W38"/>
      <c r="X38"/>
      <c r="Y38"/>
      <c r="Z38"/>
      <c r="AA38"/>
      <c r="AB38"/>
      <c r="AC38"/>
    </row>
    <row r="39" spans="1:29" ht="38.25" customHeight="1" x14ac:dyDescent="0.2">
      <c r="A39" s="107" t="s">
        <v>73</v>
      </c>
      <c r="B39" s="93"/>
      <c r="C39" s="97" t="s">
        <v>133</v>
      </c>
      <c r="D39" s="579" t="s">
        <v>645</v>
      </c>
      <c r="E39" s="572"/>
      <c r="F39" s="572"/>
      <c r="G39" s="572"/>
      <c r="H39" s="572"/>
      <c r="I39" s="572"/>
      <c r="J39" s="572"/>
      <c r="K39" s="572"/>
      <c r="L39" s="572"/>
      <c r="M39" s="572"/>
      <c r="N39" s="572"/>
      <c r="O39" s="71"/>
      <c r="P39" s="95" t="str">
        <f t="shared" ref="P39:P49" si="3">IF(O39="","",IF(O39="Yes","Pass",IF(O39="No","Fail","N/A")))</f>
        <v/>
      </c>
      <c r="Q39" s="173"/>
      <c r="R39"/>
      <c r="S39"/>
      <c r="V39"/>
      <c r="W39"/>
      <c r="X39"/>
      <c r="Y39"/>
      <c r="Z39"/>
      <c r="AA39"/>
      <c r="AB39"/>
      <c r="AC39"/>
    </row>
    <row r="40" spans="1:29" ht="30" customHeight="1" x14ac:dyDescent="0.2">
      <c r="A40" s="107" t="s">
        <v>70</v>
      </c>
      <c r="B40" s="93"/>
      <c r="C40" s="97" t="s">
        <v>221</v>
      </c>
      <c r="D40" s="579" t="s">
        <v>536</v>
      </c>
      <c r="E40" s="470"/>
      <c r="F40" s="470"/>
      <c r="G40" s="470"/>
      <c r="H40" s="470"/>
      <c r="I40" s="470"/>
      <c r="J40" s="470"/>
      <c r="K40" s="470"/>
      <c r="L40" s="470"/>
      <c r="M40" s="470"/>
      <c r="N40" s="470"/>
      <c r="O40" s="71"/>
      <c r="P40" s="95" t="str">
        <f t="shared" si="3"/>
        <v/>
      </c>
      <c r="Q40" s="173"/>
      <c r="R40"/>
      <c r="S40"/>
      <c r="V40"/>
      <c r="W40"/>
      <c r="X40"/>
      <c r="Y40"/>
      <c r="Z40"/>
      <c r="AA40"/>
      <c r="AB40"/>
      <c r="AC40"/>
    </row>
    <row r="41" spans="1:29" ht="41.25" customHeight="1" x14ac:dyDescent="0.2">
      <c r="A41" s="107">
        <v>1</v>
      </c>
      <c r="B41" s="93"/>
      <c r="C41" s="103" t="s">
        <v>222</v>
      </c>
      <c r="D41" s="445" t="s">
        <v>537</v>
      </c>
      <c r="E41" s="568"/>
      <c r="F41" s="568"/>
      <c r="G41" s="568"/>
      <c r="H41" s="568"/>
      <c r="I41" s="568"/>
      <c r="J41" s="568"/>
      <c r="K41" s="568"/>
      <c r="L41" s="568"/>
      <c r="M41" s="568"/>
      <c r="N41" s="569"/>
      <c r="O41" s="71"/>
      <c r="P41" s="95" t="str">
        <f t="shared" si="3"/>
        <v/>
      </c>
      <c r="Q41" s="173"/>
      <c r="R41"/>
      <c r="S41"/>
      <c r="V41"/>
      <c r="W41"/>
      <c r="X41"/>
      <c r="Y41"/>
      <c r="Z41"/>
      <c r="AA41"/>
      <c r="AB41"/>
      <c r="AC41"/>
    </row>
    <row r="42" spans="1:29" ht="34.5" customHeight="1" x14ac:dyDescent="0.2">
      <c r="A42" s="107"/>
      <c r="B42" s="93"/>
      <c r="C42" s="97" t="s">
        <v>223</v>
      </c>
      <c r="D42" s="445" t="s">
        <v>538</v>
      </c>
      <c r="E42" s="568"/>
      <c r="F42" s="568"/>
      <c r="G42" s="568"/>
      <c r="H42" s="568"/>
      <c r="I42" s="568"/>
      <c r="J42" s="568"/>
      <c r="K42" s="568"/>
      <c r="L42" s="568"/>
      <c r="M42" s="568"/>
      <c r="N42" s="569"/>
      <c r="O42" s="71"/>
      <c r="P42" s="95" t="str">
        <f t="shared" si="3"/>
        <v/>
      </c>
      <c r="Q42" s="173"/>
      <c r="R42"/>
      <c r="S42"/>
      <c r="V42"/>
      <c r="W42"/>
      <c r="X42"/>
      <c r="Y42"/>
      <c r="Z42"/>
      <c r="AA42"/>
      <c r="AB42"/>
      <c r="AC42"/>
    </row>
    <row r="43" spans="1:29" ht="33" customHeight="1" x14ac:dyDescent="0.2">
      <c r="A43" s="106">
        <v>1</v>
      </c>
      <c r="B43" s="93"/>
      <c r="C43" s="97" t="s">
        <v>224</v>
      </c>
      <c r="D43" s="445" t="s">
        <v>273</v>
      </c>
      <c r="E43" s="568"/>
      <c r="F43" s="568"/>
      <c r="G43" s="568"/>
      <c r="H43" s="568"/>
      <c r="I43" s="568"/>
      <c r="J43" s="568"/>
      <c r="K43" s="568"/>
      <c r="L43" s="568"/>
      <c r="M43" s="568"/>
      <c r="N43" s="569"/>
      <c r="O43" s="71"/>
      <c r="P43" s="95" t="str">
        <f t="shared" si="3"/>
        <v/>
      </c>
      <c r="Q43" s="173"/>
      <c r="R43"/>
      <c r="S43"/>
      <c r="V43"/>
      <c r="W43"/>
      <c r="X43"/>
      <c r="Y43"/>
      <c r="Z43"/>
      <c r="AA43"/>
      <c r="AB43"/>
      <c r="AC43"/>
    </row>
    <row r="44" spans="1:29" ht="35.25" customHeight="1" x14ac:dyDescent="0.2">
      <c r="A44" s="107" t="s">
        <v>73</v>
      </c>
      <c r="C44" s="103" t="s">
        <v>225</v>
      </c>
      <c r="D44" s="567" t="s">
        <v>274</v>
      </c>
      <c r="E44" s="470"/>
      <c r="F44" s="470"/>
      <c r="G44" s="470"/>
      <c r="H44" s="470"/>
      <c r="I44" s="470"/>
      <c r="J44" s="470"/>
      <c r="K44" s="470"/>
      <c r="L44" s="470"/>
      <c r="M44" s="470"/>
      <c r="N44" s="470"/>
      <c r="O44" s="71"/>
      <c r="P44" s="95" t="str">
        <f t="shared" si="3"/>
        <v/>
      </c>
      <c r="Q44" s="173"/>
      <c r="R44"/>
      <c r="S44"/>
      <c r="V44"/>
      <c r="W44"/>
      <c r="X44"/>
      <c r="Y44"/>
      <c r="Z44"/>
      <c r="AA44"/>
      <c r="AB44"/>
      <c r="AC44"/>
    </row>
    <row r="45" spans="1:29" ht="49.5" customHeight="1" x14ac:dyDescent="0.2">
      <c r="B45" s="93"/>
      <c r="C45" s="97" t="s">
        <v>226</v>
      </c>
      <c r="D45" s="445" t="s">
        <v>275</v>
      </c>
      <c r="E45" s="568"/>
      <c r="F45" s="568"/>
      <c r="G45" s="568"/>
      <c r="H45" s="568"/>
      <c r="I45" s="568"/>
      <c r="J45" s="568"/>
      <c r="K45" s="568"/>
      <c r="L45" s="568"/>
      <c r="M45" s="568"/>
      <c r="N45" s="569"/>
      <c r="O45" s="71"/>
      <c r="P45" s="95" t="str">
        <f t="shared" si="3"/>
        <v/>
      </c>
      <c r="Q45" s="173"/>
      <c r="R45"/>
      <c r="S45"/>
      <c r="V45"/>
      <c r="W45"/>
      <c r="X45"/>
      <c r="Y45"/>
      <c r="Z45"/>
      <c r="AA45"/>
      <c r="AB45"/>
      <c r="AC45"/>
    </row>
    <row r="46" spans="1:29" ht="42" customHeight="1" x14ac:dyDescent="0.2">
      <c r="C46" s="97" t="s">
        <v>227</v>
      </c>
      <c r="D46" s="445" t="s">
        <v>276</v>
      </c>
      <c r="E46" s="570"/>
      <c r="F46" s="570"/>
      <c r="G46" s="570"/>
      <c r="H46" s="570"/>
      <c r="I46" s="570"/>
      <c r="J46" s="570"/>
      <c r="K46" s="570"/>
      <c r="L46" s="570"/>
      <c r="M46" s="570"/>
      <c r="N46" s="570"/>
      <c r="O46" s="71"/>
      <c r="P46" s="95" t="str">
        <f t="shared" si="3"/>
        <v/>
      </c>
      <c r="Q46" s="173"/>
      <c r="R46"/>
      <c r="S46"/>
      <c r="V46"/>
      <c r="W46"/>
      <c r="X46"/>
      <c r="Y46"/>
      <c r="Z46"/>
      <c r="AA46"/>
      <c r="AB46"/>
      <c r="AC46"/>
    </row>
    <row r="47" spans="1:29" ht="35.25" customHeight="1" x14ac:dyDescent="0.2">
      <c r="A47" s="106">
        <v>1</v>
      </c>
      <c r="C47" s="103" t="s">
        <v>228</v>
      </c>
      <c r="D47" s="445" t="s">
        <v>277</v>
      </c>
      <c r="E47" s="568"/>
      <c r="F47" s="568"/>
      <c r="G47" s="568"/>
      <c r="H47" s="568"/>
      <c r="I47" s="568"/>
      <c r="J47" s="568"/>
      <c r="K47" s="568"/>
      <c r="L47" s="568"/>
      <c r="M47" s="568"/>
      <c r="N47" s="569"/>
      <c r="O47" s="71"/>
      <c r="P47" s="95" t="str">
        <f t="shared" si="3"/>
        <v/>
      </c>
      <c r="R47"/>
      <c r="S47"/>
      <c r="V47"/>
      <c r="W47"/>
      <c r="X47"/>
      <c r="Y47"/>
      <c r="Z47"/>
      <c r="AA47"/>
      <c r="AB47"/>
      <c r="AC47"/>
    </row>
    <row r="48" spans="1:29" ht="36.75" customHeight="1" x14ac:dyDescent="0.2">
      <c r="A48" s="107" t="s">
        <v>69</v>
      </c>
      <c r="C48" s="97" t="s">
        <v>229</v>
      </c>
      <c r="D48" s="565" t="s">
        <v>539</v>
      </c>
      <c r="E48" s="566"/>
      <c r="F48" s="566"/>
      <c r="G48" s="566"/>
      <c r="H48" s="566"/>
      <c r="I48" s="566"/>
      <c r="J48" s="566"/>
      <c r="K48" s="566"/>
      <c r="L48" s="566"/>
      <c r="M48" s="566"/>
      <c r="N48" s="566"/>
      <c r="O48" s="71"/>
      <c r="P48" s="95" t="str">
        <f t="shared" si="3"/>
        <v/>
      </c>
      <c r="Q48" s="171"/>
      <c r="R48"/>
      <c r="S48"/>
      <c r="V48"/>
      <c r="W48"/>
      <c r="X48"/>
      <c r="Y48"/>
      <c r="Z48"/>
      <c r="AA48"/>
      <c r="AB48"/>
      <c r="AC48"/>
    </row>
    <row r="49" spans="1:29" ht="39" customHeight="1" x14ac:dyDescent="0.2">
      <c r="A49" s="106">
        <v>1</v>
      </c>
      <c r="B49" s="93"/>
      <c r="C49" s="97" t="s">
        <v>230</v>
      </c>
      <c r="D49" s="567" t="s">
        <v>540</v>
      </c>
      <c r="E49" s="470"/>
      <c r="F49" s="470"/>
      <c r="G49" s="470"/>
      <c r="H49" s="470"/>
      <c r="I49" s="470"/>
      <c r="J49" s="470"/>
      <c r="K49" s="470"/>
      <c r="L49" s="470"/>
      <c r="M49" s="470"/>
      <c r="N49" s="471"/>
      <c r="O49" s="71"/>
      <c r="P49" s="95" t="str">
        <f t="shared" si="3"/>
        <v/>
      </c>
      <c r="Q49" s="123"/>
      <c r="R49"/>
      <c r="S49"/>
      <c r="V49"/>
      <c r="W49"/>
      <c r="X49"/>
      <c r="Y49"/>
      <c r="Z49"/>
      <c r="AA49"/>
      <c r="AB49"/>
      <c r="AC49"/>
    </row>
    <row r="50" spans="1:29" ht="19.5" customHeight="1" x14ac:dyDescent="0.2">
      <c r="A50" s="107" t="s">
        <v>73</v>
      </c>
      <c r="C50" s="580" t="s">
        <v>278</v>
      </c>
      <c r="D50" s="470"/>
      <c r="E50" s="470"/>
      <c r="F50" s="470"/>
      <c r="G50" s="470"/>
      <c r="H50" s="470"/>
      <c r="I50" s="470"/>
      <c r="J50" s="470"/>
      <c r="K50" s="470"/>
      <c r="L50" s="470"/>
      <c r="M50" s="470"/>
      <c r="N50" s="470"/>
      <c r="O50" s="347"/>
      <c r="P50" s="344"/>
      <c r="Q50" s="99"/>
      <c r="R50"/>
      <c r="S50"/>
      <c r="V50"/>
      <c r="W50"/>
      <c r="X50"/>
      <c r="Y50"/>
      <c r="Z50"/>
      <c r="AA50"/>
      <c r="AB50"/>
      <c r="AC50"/>
    </row>
    <row r="51" spans="1:29" ht="25.5" customHeight="1" x14ac:dyDescent="0.2">
      <c r="A51" s="107" t="s">
        <v>69</v>
      </c>
      <c r="B51" s="93"/>
      <c r="C51" s="581" t="s">
        <v>17</v>
      </c>
      <c r="D51" s="470"/>
      <c r="E51" s="470"/>
      <c r="F51" s="470"/>
      <c r="G51" s="470"/>
      <c r="H51" s="470"/>
      <c r="I51" s="470"/>
      <c r="J51" s="470"/>
      <c r="K51" s="470"/>
      <c r="L51" s="470"/>
      <c r="M51" s="470"/>
      <c r="N51" s="470"/>
      <c r="O51" s="345"/>
      <c r="Q51" s="359"/>
      <c r="R51"/>
      <c r="S51"/>
      <c r="V51"/>
      <c r="W51"/>
      <c r="X51"/>
      <c r="Y51"/>
      <c r="Z51"/>
      <c r="AA51"/>
      <c r="AB51"/>
      <c r="AC51"/>
    </row>
    <row r="52" spans="1:29" ht="21.75" customHeight="1" x14ac:dyDescent="0.25">
      <c r="A52" s="106">
        <v>1</v>
      </c>
      <c r="B52" s="93"/>
      <c r="C52" s="100" t="s">
        <v>264</v>
      </c>
      <c r="D52" s="576" t="s">
        <v>74</v>
      </c>
      <c r="E52" s="577"/>
      <c r="F52" s="577"/>
      <c r="G52" s="577"/>
      <c r="H52" s="577"/>
      <c r="I52" s="577"/>
      <c r="J52" s="577"/>
      <c r="K52" s="577"/>
      <c r="L52" s="577"/>
      <c r="M52" s="577"/>
      <c r="N52" s="578"/>
      <c r="O52" s="101" t="s">
        <v>265</v>
      </c>
      <c r="P52" s="101" t="s">
        <v>266</v>
      </c>
      <c r="Q52" s="173"/>
      <c r="R52"/>
      <c r="S52"/>
      <c r="V52"/>
      <c r="W52"/>
      <c r="X52"/>
      <c r="Y52"/>
      <c r="Z52"/>
      <c r="AA52"/>
      <c r="AB52"/>
      <c r="AC52"/>
    </row>
    <row r="53" spans="1:29" ht="34.5" customHeight="1" x14ac:dyDescent="0.2">
      <c r="A53" s="106">
        <v>1</v>
      </c>
      <c r="C53" s="94" t="s">
        <v>232</v>
      </c>
      <c r="D53" s="601" t="s">
        <v>279</v>
      </c>
      <c r="E53" s="595"/>
      <c r="F53" s="595"/>
      <c r="G53" s="595"/>
      <c r="H53" s="595"/>
      <c r="I53" s="595"/>
      <c r="J53" s="595"/>
      <c r="K53" s="595"/>
      <c r="L53" s="595"/>
      <c r="M53" s="595"/>
      <c r="N53" s="595"/>
      <c r="O53" s="71"/>
      <c r="P53" s="95" t="str">
        <f t="shared" ref="P53:P60" si="4">IF(O53="","",IF(O53="Yes","Pass",IF(O53="No","Fail","N/A")))</f>
        <v/>
      </c>
      <c r="Q53" s="173"/>
      <c r="R53"/>
      <c r="S53"/>
      <c r="V53"/>
      <c r="W53"/>
      <c r="X53"/>
      <c r="Y53"/>
      <c r="Z53"/>
      <c r="AA53"/>
      <c r="AB53"/>
      <c r="AC53"/>
    </row>
    <row r="54" spans="1:29" ht="60.75" customHeight="1" x14ac:dyDescent="0.2">
      <c r="A54" s="106">
        <v>1</v>
      </c>
      <c r="C54" s="94" t="s">
        <v>233</v>
      </c>
      <c r="D54" s="601" t="s">
        <v>457</v>
      </c>
      <c r="E54" s="605"/>
      <c r="F54" s="605"/>
      <c r="G54" s="605"/>
      <c r="H54" s="605"/>
      <c r="I54" s="605"/>
      <c r="J54" s="605"/>
      <c r="K54" s="605"/>
      <c r="L54" s="605"/>
      <c r="M54" s="605"/>
      <c r="N54" s="606"/>
      <c r="O54" s="71"/>
      <c r="P54" s="95" t="str">
        <f t="shared" si="4"/>
        <v/>
      </c>
      <c r="Q54" s="173"/>
      <c r="R54"/>
      <c r="S54"/>
      <c r="V54"/>
      <c r="W54"/>
      <c r="X54"/>
      <c r="Y54"/>
      <c r="Z54"/>
      <c r="AA54"/>
      <c r="AB54"/>
      <c r="AC54"/>
    </row>
    <row r="55" spans="1:29" ht="38.25" customHeight="1" x14ac:dyDescent="0.2">
      <c r="A55" s="106">
        <v>1</v>
      </c>
      <c r="B55" s="107" t="s">
        <v>70</v>
      </c>
      <c r="C55" s="94" t="s">
        <v>458</v>
      </c>
      <c r="D55" s="602" t="s">
        <v>454</v>
      </c>
      <c r="E55" s="603"/>
      <c r="F55" s="603"/>
      <c r="G55" s="603"/>
      <c r="H55" s="603"/>
      <c r="I55" s="603"/>
      <c r="J55" s="603"/>
      <c r="K55" s="603"/>
      <c r="L55" s="603"/>
      <c r="M55" s="603"/>
      <c r="N55" s="604"/>
      <c r="O55" s="71"/>
      <c r="P55" s="95" t="str">
        <f t="shared" si="4"/>
        <v/>
      </c>
      <c r="Q55" s="173"/>
      <c r="R55"/>
      <c r="S55"/>
      <c r="V55"/>
      <c r="W55"/>
      <c r="X55"/>
      <c r="Y55"/>
      <c r="Z55"/>
      <c r="AA55"/>
      <c r="AB55"/>
      <c r="AC55"/>
    </row>
    <row r="56" spans="1:29" ht="68.25" customHeight="1" x14ac:dyDescent="0.2">
      <c r="A56" s="107" t="s">
        <v>73</v>
      </c>
      <c r="C56" s="94" t="s">
        <v>234</v>
      </c>
      <c r="D56" s="594" t="s">
        <v>541</v>
      </c>
      <c r="E56" s="595"/>
      <c r="F56" s="595"/>
      <c r="G56" s="595"/>
      <c r="H56" s="595"/>
      <c r="I56" s="595"/>
      <c r="J56" s="595"/>
      <c r="K56" s="595"/>
      <c r="L56" s="595"/>
      <c r="M56" s="595"/>
      <c r="N56" s="596"/>
      <c r="O56" s="71"/>
      <c r="P56" s="95" t="str">
        <f t="shared" si="4"/>
        <v/>
      </c>
      <c r="Q56" s="173"/>
      <c r="R56"/>
      <c r="S56"/>
      <c r="V56"/>
      <c r="W56"/>
      <c r="X56"/>
      <c r="Y56"/>
      <c r="Z56"/>
      <c r="AA56"/>
      <c r="AB56"/>
      <c r="AC56"/>
    </row>
    <row r="57" spans="1:29" ht="31.5" customHeight="1" x14ac:dyDescent="0.2">
      <c r="B57" s="93"/>
      <c r="C57" s="94" t="s">
        <v>235</v>
      </c>
      <c r="D57" s="602" t="s">
        <v>459</v>
      </c>
      <c r="E57" s="603"/>
      <c r="F57" s="603"/>
      <c r="G57" s="603"/>
      <c r="H57" s="603"/>
      <c r="I57" s="603"/>
      <c r="J57" s="603"/>
      <c r="K57" s="603"/>
      <c r="L57" s="603"/>
      <c r="M57" s="603"/>
      <c r="N57" s="604"/>
      <c r="O57" s="71"/>
      <c r="P57" s="95" t="str">
        <f t="shared" si="4"/>
        <v/>
      </c>
      <c r="Q57" s="173"/>
      <c r="R57"/>
      <c r="S57"/>
      <c r="V57"/>
      <c r="W57"/>
      <c r="X57"/>
      <c r="Y57"/>
      <c r="Z57"/>
      <c r="AA57"/>
      <c r="AB57"/>
      <c r="AC57"/>
    </row>
    <row r="58" spans="1:29" ht="40.5" customHeight="1" x14ac:dyDescent="0.2">
      <c r="C58" s="104" t="s">
        <v>460</v>
      </c>
      <c r="D58" s="597" t="s">
        <v>455</v>
      </c>
      <c r="E58" s="595"/>
      <c r="F58" s="595"/>
      <c r="G58" s="595"/>
      <c r="H58" s="595"/>
      <c r="I58" s="595"/>
      <c r="J58" s="595"/>
      <c r="K58" s="595"/>
      <c r="L58" s="595"/>
      <c r="M58" s="595"/>
      <c r="N58" s="596"/>
      <c r="O58" s="71"/>
      <c r="P58" s="95" t="str">
        <f t="shared" si="4"/>
        <v/>
      </c>
      <c r="Q58" s="173"/>
      <c r="R58"/>
      <c r="S58"/>
      <c r="V58"/>
      <c r="W58"/>
      <c r="X58"/>
      <c r="Y58"/>
      <c r="Z58"/>
      <c r="AA58"/>
      <c r="AB58"/>
      <c r="AC58"/>
    </row>
    <row r="59" spans="1:29" ht="30" customHeight="1" x14ac:dyDescent="0.2">
      <c r="A59" s="107" t="s">
        <v>70</v>
      </c>
      <c r="C59" s="104" t="s">
        <v>236</v>
      </c>
      <c r="D59" s="598" t="s">
        <v>456</v>
      </c>
      <c r="E59" s="599"/>
      <c r="F59" s="599"/>
      <c r="G59" s="599"/>
      <c r="H59" s="599"/>
      <c r="I59" s="599"/>
      <c r="J59" s="599"/>
      <c r="K59" s="599"/>
      <c r="L59" s="599"/>
      <c r="M59" s="599"/>
      <c r="N59" s="600"/>
      <c r="O59" s="71"/>
      <c r="P59" s="95" t="str">
        <f t="shared" si="4"/>
        <v/>
      </c>
      <c r="Q59" s="173"/>
      <c r="R59"/>
      <c r="S59"/>
      <c r="V59"/>
      <c r="W59"/>
      <c r="X59"/>
      <c r="Y59"/>
      <c r="Z59"/>
      <c r="AA59"/>
      <c r="AB59"/>
      <c r="AC59"/>
    </row>
    <row r="60" spans="1:29" ht="30" customHeight="1" x14ac:dyDescent="0.2">
      <c r="A60" s="107" t="s">
        <v>70</v>
      </c>
      <c r="B60" s="93"/>
      <c r="C60" s="104" t="s">
        <v>237</v>
      </c>
      <c r="D60" s="598" t="s">
        <v>280</v>
      </c>
      <c r="E60" s="599"/>
      <c r="F60" s="599"/>
      <c r="G60" s="599"/>
      <c r="H60" s="599"/>
      <c r="I60" s="599"/>
      <c r="J60" s="599"/>
      <c r="K60" s="599"/>
      <c r="L60" s="599"/>
      <c r="M60" s="599"/>
      <c r="N60" s="600"/>
      <c r="O60" s="71"/>
      <c r="P60" s="95" t="str">
        <f t="shared" si="4"/>
        <v/>
      </c>
      <c r="Q60" s="171"/>
      <c r="R60"/>
      <c r="S60"/>
      <c r="V60"/>
      <c r="W60"/>
      <c r="X60"/>
      <c r="Y60"/>
      <c r="Z60"/>
      <c r="AA60"/>
      <c r="AB60"/>
      <c r="AC60"/>
    </row>
    <row r="61" spans="1:29" ht="22.5" customHeight="1" x14ac:dyDescent="0.2">
      <c r="A61" s="107" t="s">
        <v>69</v>
      </c>
      <c r="B61" s="107" t="s">
        <v>69</v>
      </c>
      <c r="C61" s="580" t="s">
        <v>281</v>
      </c>
      <c r="D61" s="470"/>
      <c r="E61" s="470"/>
      <c r="F61" s="470"/>
      <c r="G61" s="470"/>
      <c r="H61" s="470"/>
      <c r="I61" s="470"/>
      <c r="J61" s="470"/>
      <c r="K61" s="470"/>
      <c r="L61" s="470"/>
      <c r="M61" s="470"/>
      <c r="N61" s="470"/>
      <c r="O61" s="347"/>
      <c r="P61" s="345"/>
      <c r="Q61" s="172"/>
      <c r="R61"/>
      <c r="S61"/>
      <c r="V61"/>
      <c r="W61"/>
      <c r="X61"/>
      <c r="Y61"/>
      <c r="Z61"/>
      <c r="AA61"/>
      <c r="AB61"/>
      <c r="AC61"/>
    </row>
    <row r="62" spans="1:29" ht="28.5" customHeight="1" x14ac:dyDescent="0.2">
      <c r="A62" s="107"/>
      <c r="B62" s="147"/>
      <c r="C62" s="581" t="s">
        <v>17</v>
      </c>
      <c r="D62" s="470"/>
      <c r="E62" s="470"/>
      <c r="F62" s="470"/>
      <c r="G62" s="470"/>
      <c r="H62" s="470"/>
      <c r="I62" s="470"/>
      <c r="J62" s="470"/>
      <c r="K62" s="470"/>
      <c r="L62" s="470"/>
      <c r="M62" s="470"/>
      <c r="N62" s="470"/>
      <c r="O62" s="345"/>
      <c r="Q62" s="171"/>
      <c r="R62"/>
      <c r="S62"/>
      <c r="V62"/>
      <c r="W62"/>
      <c r="X62"/>
      <c r="Y62"/>
      <c r="Z62"/>
      <c r="AA62"/>
      <c r="AB62"/>
      <c r="AC62"/>
    </row>
    <row r="63" spans="1:29" ht="30" customHeight="1" x14ac:dyDescent="0.25">
      <c r="A63" s="107" t="s">
        <v>70</v>
      </c>
      <c r="B63" s="93"/>
      <c r="C63" s="100" t="s">
        <v>264</v>
      </c>
      <c r="D63" s="573" t="s">
        <v>75</v>
      </c>
      <c r="E63" s="574"/>
      <c r="F63" s="574"/>
      <c r="G63" s="574"/>
      <c r="H63" s="574"/>
      <c r="I63" s="574"/>
      <c r="J63" s="574"/>
      <c r="K63" s="574"/>
      <c r="L63" s="574"/>
      <c r="M63" s="574"/>
      <c r="N63" s="440"/>
      <c r="O63" s="101" t="s">
        <v>265</v>
      </c>
      <c r="P63" s="101" t="s">
        <v>266</v>
      </c>
      <c r="Q63" s="359"/>
      <c r="R63"/>
      <c r="S63"/>
      <c r="V63"/>
      <c r="W63"/>
      <c r="X63"/>
      <c r="Y63"/>
      <c r="Z63"/>
      <c r="AA63"/>
      <c r="AB63"/>
      <c r="AC63"/>
    </row>
    <row r="64" spans="1:29" ht="30" customHeight="1" x14ac:dyDescent="0.2">
      <c r="A64" s="107" t="s">
        <v>70</v>
      </c>
      <c r="B64" s="93"/>
      <c r="C64" s="94" t="s">
        <v>239</v>
      </c>
      <c r="D64" s="567" t="s">
        <v>461</v>
      </c>
      <c r="E64" s="470"/>
      <c r="F64" s="470"/>
      <c r="G64" s="470"/>
      <c r="H64" s="470"/>
      <c r="I64" s="470"/>
      <c r="J64" s="470"/>
      <c r="K64" s="470"/>
      <c r="L64" s="470"/>
      <c r="M64" s="470"/>
      <c r="N64" s="471"/>
      <c r="O64" s="71"/>
      <c r="P64" s="95" t="str">
        <f t="shared" ref="P64:P69" si="5">IF(O64="","",IF(O64="Yes","Pass",IF(O64="No","Fail","N/A")))</f>
        <v/>
      </c>
      <c r="Q64" s="173"/>
      <c r="R64"/>
      <c r="S64"/>
      <c r="V64"/>
      <c r="W64"/>
      <c r="X64"/>
      <c r="Y64"/>
      <c r="Z64"/>
      <c r="AA64"/>
      <c r="AB64"/>
      <c r="AC64"/>
    </row>
    <row r="65" spans="1:29" ht="33.75" customHeight="1" x14ac:dyDescent="0.2">
      <c r="A65" s="107" t="s">
        <v>76</v>
      </c>
      <c r="B65" s="93"/>
      <c r="C65" s="94" t="s">
        <v>240</v>
      </c>
      <c r="D65" s="567" t="s">
        <v>282</v>
      </c>
      <c r="E65" s="470"/>
      <c r="F65" s="470"/>
      <c r="G65" s="470"/>
      <c r="H65" s="470"/>
      <c r="I65" s="470"/>
      <c r="J65" s="470"/>
      <c r="K65" s="470"/>
      <c r="L65" s="470"/>
      <c r="M65" s="470"/>
      <c r="N65" s="471"/>
      <c r="O65" s="71"/>
      <c r="P65" s="95" t="str">
        <f t="shared" si="5"/>
        <v/>
      </c>
      <c r="Q65" s="173"/>
      <c r="R65"/>
      <c r="S65"/>
      <c r="V65"/>
      <c r="W65"/>
      <c r="X65"/>
      <c r="Y65"/>
      <c r="Z65"/>
      <c r="AA65"/>
      <c r="AB65"/>
      <c r="AC65"/>
    </row>
    <row r="66" spans="1:29" ht="49.5" customHeight="1" x14ac:dyDescent="0.2">
      <c r="A66" s="106">
        <v>1</v>
      </c>
      <c r="B66" s="93"/>
      <c r="C66" s="94" t="s">
        <v>241</v>
      </c>
      <c r="D66" s="567" t="s">
        <v>462</v>
      </c>
      <c r="E66" s="470"/>
      <c r="F66" s="470"/>
      <c r="G66" s="470"/>
      <c r="H66" s="470"/>
      <c r="I66" s="470"/>
      <c r="J66" s="470"/>
      <c r="K66" s="470"/>
      <c r="L66" s="470"/>
      <c r="M66" s="470"/>
      <c r="N66" s="471"/>
      <c r="O66" s="71"/>
      <c r="P66" s="95" t="str">
        <f t="shared" si="5"/>
        <v/>
      </c>
      <c r="Q66" s="173"/>
      <c r="R66"/>
      <c r="S66"/>
      <c r="V66"/>
      <c r="W66"/>
      <c r="X66"/>
      <c r="Y66"/>
      <c r="Z66"/>
      <c r="AA66"/>
      <c r="AB66"/>
      <c r="AC66"/>
    </row>
    <row r="67" spans="1:29" ht="35.25" customHeight="1" x14ac:dyDescent="0.2">
      <c r="A67" s="107" t="s">
        <v>73</v>
      </c>
      <c r="C67" s="148" t="s">
        <v>542</v>
      </c>
      <c r="D67" s="593" t="s">
        <v>464</v>
      </c>
      <c r="E67" s="470"/>
      <c r="F67" s="470"/>
      <c r="G67" s="470"/>
      <c r="H67" s="470"/>
      <c r="I67" s="470"/>
      <c r="J67" s="470"/>
      <c r="K67" s="470"/>
      <c r="L67" s="470"/>
      <c r="M67" s="470"/>
      <c r="N67" s="470"/>
      <c r="O67" s="71"/>
      <c r="P67" s="95" t="str">
        <f t="shared" si="5"/>
        <v/>
      </c>
      <c r="Q67" s="173"/>
      <c r="R67"/>
      <c r="S67"/>
      <c r="V67"/>
      <c r="W67"/>
      <c r="X67"/>
      <c r="Y67"/>
      <c r="Z67"/>
      <c r="AA67"/>
      <c r="AB67"/>
      <c r="AC67"/>
    </row>
    <row r="68" spans="1:29" ht="36" customHeight="1" x14ac:dyDescent="0.2">
      <c r="B68" s="93"/>
      <c r="C68" s="94" t="s">
        <v>242</v>
      </c>
      <c r="D68" s="469" t="s">
        <v>546</v>
      </c>
      <c r="E68" s="470"/>
      <c r="F68" s="470"/>
      <c r="G68" s="470"/>
      <c r="H68" s="470"/>
      <c r="I68" s="470"/>
      <c r="J68" s="470"/>
      <c r="K68" s="470"/>
      <c r="L68" s="470"/>
      <c r="M68" s="470"/>
      <c r="N68" s="471"/>
      <c r="O68" s="71"/>
      <c r="P68" s="95" t="str">
        <f t="shared" si="5"/>
        <v/>
      </c>
      <c r="Q68" s="173"/>
      <c r="R68"/>
      <c r="S68"/>
      <c r="V68"/>
      <c r="W68"/>
      <c r="X68"/>
      <c r="Y68"/>
      <c r="Z68"/>
      <c r="AA68"/>
      <c r="AB68"/>
      <c r="AC68"/>
    </row>
    <row r="69" spans="1:29" ht="52.5" customHeight="1" x14ac:dyDescent="0.2">
      <c r="C69" s="94" t="s">
        <v>243</v>
      </c>
      <c r="D69" s="469" t="s">
        <v>547</v>
      </c>
      <c r="E69" s="470"/>
      <c r="F69" s="470"/>
      <c r="G69" s="470"/>
      <c r="H69" s="470"/>
      <c r="I69" s="470"/>
      <c r="J69" s="470"/>
      <c r="K69" s="470"/>
      <c r="L69" s="470"/>
      <c r="M69" s="470"/>
      <c r="N69" s="471"/>
      <c r="O69" s="71"/>
      <c r="P69" s="95" t="str">
        <f t="shared" si="5"/>
        <v/>
      </c>
      <c r="Q69" s="173"/>
      <c r="R69"/>
      <c r="S69"/>
      <c r="V69"/>
      <c r="W69"/>
      <c r="X69"/>
      <c r="Y69"/>
      <c r="Z69"/>
      <c r="AA69"/>
      <c r="AB69"/>
      <c r="AC69"/>
    </row>
    <row r="70" spans="1:29" ht="21" customHeight="1" x14ac:dyDescent="0.25">
      <c r="A70" s="107" t="s">
        <v>70</v>
      </c>
      <c r="C70" s="608" t="s">
        <v>283</v>
      </c>
      <c r="D70" s="486"/>
      <c r="E70" s="486"/>
      <c r="F70" s="486"/>
      <c r="G70" s="486"/>
      <c r="H70" s="486"/>
      <c r="I70" s="486"/>
      <c r="J70" s="486"/>
      <c r="K70" s="486"/>
      <c r="L70" s="486"/>
      <c r="M70" s="486"/>
      <c r="N70" s="486"/>
      <c r="O70" s="348"/>
      <c r="P70" s="342"/>
      <c r="Q70" s="173"/>
      <c r="R70"/>
      <c r="S70"/>
      <c r="V70"/>
      <c r="W70"/>
      <c r="X70"/>
      <c r="Y70"/>
      <c r="Z70"/>
      <c r="AA70"/>
      <c r="AB70"/>
      <c r="AC70"/>
    </row>
    <row r="71" spans="1:29" ht="29.25" customHeight="1" x14ac:dyDescent="0.25">
      <c r="A71" s="107" t="s">
        <v>285</v>
      </c>
      <c r="B71" s="93"/>
      <c r="C71" s="581" t="s">
        <v>17</v>
      </c>
      <c r="D71" s="470"/>
      <c r="E71" s="470"/>
      <c r="F71" s="470"/>
      <c r="G71" s="470"/>
      <c r="H71" s="470"/>
      <c r="I71" s="470"/>
      <c r="J71" s="470"/>
      <c r="K71" s="470"/>
      <c r="L71" s="470"/>
      <c r="M71" s="470"/>
      <c r="N71" s="470"/>
      <c r="O71" s="345"/>
      <c r="Q71" s="352"/>
      <c r="R71"/>
      <c r="S71"/>
      <c r="V71"/>
      <c r="W71"/>
      <c r="X71"/>
      <c r="Y71"/>
      <c r="Z71"/>
      <c r="AA71"/>
      <c r="AB71"/>
      <c r="AC71"/>
    </row>
    <row r="72" spans="1:29" ht="21.75" customHeight="1" x14ac:dyDescent="0.25">
      <c r="A72" s="107" t="s">
        <v>76</v>
      </c>
      <c r="B72" s="107" t="s">
        <v>286</v>
      </c>
      <c r="C72" s="100" t="s">
        <v>264</v>
      </c>
      <c r="D72" s="573" t="s">
        <v>77</v>
      </c>
      <c r="E72" s="574"/>
      <c r="F72" s="574"/>
      <c r="G72" s="574"/>
      <c r="H72" s="574"/>
      <c r="I72" s="574"/>
      <c r="J72" s="574"/>
      <c r="K72" s="574"/>
      <c r="L72" s="574"/>
      <c r="M72" s="574"/>
      <c r="N72" s="574"/>
      <c r="O72" s="101" t="s">
        <v>265</v>
      </c>
      <c r="P72" s="101" t="s">
        <v>266</v>
      </c>
      <c r="Q72" s="172"/>
      <c r="R72"/>
      <c r="S72"/>
      <c r="V72"/>
      <c r="W72"/>
      <c r="X72"/>
      <c r="Y72"/>
      <c r="Z72"/>
      <c r="AA72"/>
      <c r="AB72"/>
      <c r="AC72"/>
    </row>
    <row r="73" spans="1:29" ht="36" customHeight="1" x14ac:dyDescent="0.2">
      <c r="A73" s="107" t="s">
        <v>287</v>
      </c>
      <c r="B73" s="107" t="s">
        <v>80</v>
      </c>
      <c r="C73" s="102" t="s">
        <v>245</v>
      </c>
      <c r="D73" s="607" t="s">
        <v>284</v>
      </c>
      <c r="E73" s="470"/>
      <c r="F73" s="470"/>
      <c r="G73" s="470"/>
      <c r="H73" s="470"/>
      <c r="I73" s="470"/>
      <c r="J73" s="470"/>
      <c r="K73" s="470"/>
      <c r="L73" s="470"/>
      <c r="M73" s="470"/>
      <c r="N73" s="470"/>
      <c r="O73" s="71"/>
      <c r="P73" s="95" t="str">
        <f>IF(O73="","",IF(O73="Yes","Fail",IF(O73="No","Pass","N/A")))</f>
        <v/>
      </c>
      <c r="R73"/>
      <c r="S73"/>
      <c r="V73"/>
      <c r="W73"/>
      <c r="X73"/>
      <c r="Y73"/>
      <c r="Z73"/>
      <c r="AA73"/>
      <c r="AB73"/>
      <c r="AC73"/>
    </row>
    <row r="74" spans="1:29" ht="189" customHeight="1" x14ac:dyDescent="0.2">
      <c r="A74" s="107" t="s">
        <v>288</v>
      </c>
      <c r="B74" s="93"/>
      <c r="C74" s="102" t="s">
        <v>246</v>
      </c>
      <c r="D74" s="609" t="s">
        <v>552</v>
      </c>
      <c r="E74" s="470"/>
      <c r="F74" s="470"/>
      <c r="G74" s="470"/>
      <c r="H74" s="470"/>
      <c r="I74" s="470"/>
      <c r="J74" s="470"/>
      <c r="K74" s="470"/>
      <c r="L74" s="470"/>
      <c r="M74" s="470"/>
      <c r="N74" s="470"/>
      <c r="O74" s="71"/>
      <c r="P74" s="95" t="str">
        <f>IF(O74="","",IF(O74="Yes","Fail",IF(O74="No","Pass","N/A")))</f>
        <v/>
      </c>
      <c r="Q74" s="359"/>
      <c r="R74"/>
      <c r="S74"/>
      <c r="V74"/>
      <c r="W74"/>
      <c r="X74"/>
      <c r="Y74"/>
      <c r="Z74"/>
      <c r="AA74"/>
      <c r="AB74"/>
      <c r="AC74"/>
    </row>
    <row r="75" spans="1:29" ht="94.5" customHeight="1" x14ac:dyDescent="0.2">
      <c r="A75" s="107" t="s">
        <v>81</v>
      </c>
      <c r="B75" s="93"/>
      <c r="C75" s="102" t="s">
        <v>247</v>
      </c>
      <c r="D75" s="609" t="s">
        <v>551</v>
      </c>
      <c r="E75" s="470"/>
      <c r="F75" s="470"/>
      <c r="G75" s="470"/>
      <c r="H75" s="470"/>
      <c r="I75" s="470"/>
      <c r="J75" s="470"/>
      <c r="K75" s="470"/>
      <c r="L75" s="470"/>
      <c r="M75" s="470"/>
      <c r="N75" s="470"/>
      <c r="O75" s="71"/>
      <c r="P75" s="95" t="str">
        <f t="shared" ref="P75:P82" si="6">IF(O75="","",IF(O75="Yes","Pass",IF(O75="No","Fail","N/A")))</f>
        <v/>
      </c>
      <c r="Q75" s="173"/>
      <c r="R75"/>
      <c r="S75"/>
      <c r="V75"/>
      <c r="W75"/>
      <c r="X75"/>
      <c r="Y75"/>
      <c r="Z75"/>
      <c r="AA75"/>
      <c r="AB75"/>
      <c r="AC75"/>
    </row>
    <row r="76" spans="1:29" ht="126" customHeight="1" x14ac:dyDescent="0.2">
      <c r="A76" s="107" t="s">
        <v>69</v>
      </c>
      <c r="B76" s="93"/>
      <c r="C76" s="102" t="s">
        <v>248</v>
      </c>
      <c r="D76" s="579" t="s">
        <v>550</v>
      </c>
      <c r="E76" s="572"/>
      <c r="F76" s="572"/>
      <c r="G76" s="572"/>
      <c r="H76" s="572"/>
      <c r="I76" s="572"/>
      <c r="J76" s="572"/>
      <c r="K76" s="572"/>
      <c r="L76" s="572"/>
      <c r="M76" s="572"/>
      <c r="N76" s="572"/>
      <c r="O76" s="71"/>
      <c r="P76" s="95" t="str">
        <f t="shared" si="6"/>
        <v/>
      </c>
      <c r="Q76" s="173"/>
      <c r="R76"/>
      <c r="S76"/>
      <c r="V76"/>
      <c r="W76"/>
      <c r="X76"/>
      <c r="Y76"/>
      <c r="Z76"/>
      <c r="AA76"/>
      <c r="AB76"/>
      <c r="AC76"/>
    </row>
    <row r="77" spans="1:29" ht="78" customHeight="1" x14ac:dyDescent="0.2">
      <c r="A77" s="107" t="s">
        <v>288</v>
      </c>
      <c r="B77" s="93"/>
      <c r="C77" s="102" t="s">
        <v>249</v>
      </c>
      <c r="D77" s="579" t="s">
        <v>289</v>
      </c>
      <c r="E77" s="572"/>
      <c r="F77" s="572"/>
      <c r="G77" s="572"/>
      <c r="H77" s="572"/>
      <c r="I77" s="572"/>
      <c r="J77" s="572"/>
      <c r="K77" s="572"/>
      <c r="L77" s="572"/>
      <c r="M77" s="572"/>
      <c r="N77" s="582"/>
      <c r="O77" s="71"/>
      <c r="P77" s="95" t="str">
        <f t="shared" si="6"/>
        <v/>
      </c>
      <c r="Q77" s="173"/>
      <c r="R77"/>
      <c r="S77"/>
      <c r="V77"/>
      <c r="W77"/>
      <c r="X77"/>
      <c r="Y77"/>
      <c r="Z77"/>
      <c r="AA77"/>
      <c r="AB77"/>
      <c r="AC77"/>
    </row>
    <row r="78" spans="1:29" ht="108.75" customHeight="1" x14ac:dyDescent="0.2">
      <c r="A78" s="107" t="s">
        <v>73</v>
      </c>
      <c r="B78" s="93"/>
      <c r="C78" s="102" t="s">
        <v>250</v>
      </c>
      <c r="D78" s="579" t="s">
        <v>543</v>
      </c>
      <c r="E78" s="572"/>
      <c r="F78" s="572"/>
      <c r="G78" s="572"/>
      <c r="H78" s="572"/>
      <c r="I78" s="572"/>
      <c r="J78" s="572"/>
      <c r="K78" s="572"/>
      <c r="L78" s="572"/>
      <c r="M78" s="572"/>
      <c r="N78" s="582"/>
      <c r="O78" s="71"/>
      <c r="P78" s="95" t="str">
        <f t="shared" si="6"/>
        <v/>
      </c>
      <c r="Q78" s="173"/>
      <c r="R78"/>
      <c r="S78"/>
      <c r="V78"/>
      <c r="W78"/>
      <c r="X78"/>
      <c r="Y78"/>
      <c r="Z78"/>
      <c r="AA78"/>
      <c r="AB78"/>
      <c r="AC78"/>
    </row>
    <row r="79" spans="1:29" ht="36" customHeight="1" x14ac:dyDescent="0.2">
      <c r="A79" s="107" t="s">
        <v>81</v>
      </c>
      <c r="B79" s="93"/>
      <c r="C79" s="102" t="s">
        <v>251</v>
      </c>
      <c r="D79" s="567" t="s">
        <v>290</v>
      </c>
      <c r="E79" s="572"/>
      <c r="F79" s="572"/>
      <c r="G79" s="572"/>
      <c r="H79" s="572"/>
      <c r="I79" s="572"/>
      <c r="J79" s="572"/>
      <c r="K79" s="572"/>
      <c r="L79" s="572"/>
      <c r="M79" s="572"/>
      <c r="N79" s="582"/>
      <c r="O79" s="71"/>
      <c r="P79" s="95" t="str">
        <f t="shared" si="6"/>
        <v/>
      </c>
      <c r="Q79" s="173"/>
      <c r="R79"/>
      <c r="S79"/>
      <c r="V79"/>
      <c r="W79"/>
      <c r="X79"/>
      <c r="Y79"/>
      <c r="Z79"/>
      <c r="AA79"/>
      <c r="AB79"/>
      <c r="AC79"/>
    </row>
    <row r="80" spans="1:29" ht="91.5" customHeight="1" x14ac:dyDescent="0.2">
      <c r="A80" s="107" t="s">
        <v>81</v>
      </c>
      <c r="B80" s="93"/>
      <c r="C80" s="102" t="s">
        <v>252</v>
      </c>
      <c r="D80" s="579" t="s">
        <v>549</v>
      </c>
      <c r="E80" s="572"/>
      <c r="F80" s="572"/>
      <c r="G80" s="572"/>
      <c r="H80" s="572"/>
      <c r="I80" s="572"/>
      <c r="J80" s="572"/>
      <c r="K80" s="572"/>
      <c r="L80" s="572"/>
      <c r="M80" s="572"/>
      <c r="N80" s="582"/>
      <c r="O80" s="71"/>
      <c r="P80" s="95" t="str">
        <f t="shared" si="6"/>
        <v/>
      </c>
      <c r="Q80" s="173"/>
      <c r="R80"/>
      <c r="S80"/>
      <c r="V80"/>
      <c r="W80"/>
      <c r="X80"/>
      <c r="Y80"/>
      <c r="Z80"/>
      <c r="AA80"/>
      <c r="AB80"/>
      <c r="AC80"/>
    </row>
    <row r="81" spans="1:19" ht="61.5" customHeight="1" x14ac:dyDescent="0.2">
      <c r="A81" s="107" t="s">
        <v>288</v>
      </c>
      <c r="B81" s="93"/>
      <c r="C81" s="102" t="s">
        <v>253</v>
      </c>
      <c r="D81" s="579" t="s">
        <v>291</v>
      </c>
      <c r="E81" s="572"/>
      <c r="F81" s="572"/>
      <c r="G81" s="572"/>
      <c r="H81" s="572"/>
      <c r="I81" s="572"/>
      <c r="J81" s="572"/>
      <c r="K81" s="572"/>
      <c r="L81" s="572"/>
      <c r="M81" s="572"/>
      <c r="N81" s="582"/>
      <c r="O81" s="71"/>
      <c r="P81" s="95" t="str">
        <f t="shared" si="6"/>
        <v/>
      </c>
      <c r="Q81"/>
      <c r="R81"/>
      <c r="S81"/>
    </row>
    <row r="82" spans="1:19" ht="78.75" customHeight="1" x14ac:dyDescent="0.2">
      <c r="A82" s="106">
        <v>1</v>
      </c>
      <c r="B82" s="93"/>
      <c r="C82" s="102" t="s">
        <v>254</v>
      </c>
      <c r="D82" s="609" t="s">
        <v>548</v>
      </c>
      <c r="E82" s="470"/>
      <c r="F82" s="470"/>
      <c r="G82" s="470"/>
      <c r="H82" s="470"/>
      <c r="I82" s="470"/>
      <c r="J82" s="470"/>
      <c r="K82" s="470"/>
      <c r="L82" s="470"/>
      <c r="M82" s="470"/>
      <c r="N82" s="471"/>
      <c r="O82" s="71"/>
      <c r="P82" s="95" t="str">
        <f t="shared" si="6"/>
        <v/>
      </c>
      <c r="Q82"/>
      <c r="R82"/>
      <c r="S82"/>
    </row>
    <row r="83" spans="1:19" ht="20.25" customHeight="1" x14ac:dyDescent="0.2">
      <c r="A83" s="107" t="s">
        <v>73</v>
      </c>
      <c r="C83" s="469" t="s">
        <v>292</v>
      </c>
      <c r="D83" s="470"/>
      <c r="E83" s="470"/>
      <c r="F83" s="470"/>
      <c r="G83" s="470"/>
      <c r="H83" s="470"/>
      <c r="I83" s="470"/>
      <c r="J83" s="470"/>
      <c r="K83" s="470"/>
      <c r="L83" s="470"/>
      <c r="M83" s="470"/>
      <c r="N83" s="470"/>
      <c r="O83" s="346"/>
      <c r="P83" s="95"/>
      <c r="Q83"/>
      <c r="R83"/>
      <c r="S83"/>
    </row>
    <row r="84" spans="1:19" ht="21" customHeight="1" x14ac:dyDescent="0.2">
      <c r="B84" s="93"/>
      <c r="C84" s="581" t="s">
        <v>17</v>
      </c>
      <c r="D84" s="470"/>
      <c r="E84" s="470"/>
      <c r="F84" s="470"/>
      <c r="G84" s="470"/>
      <c r="H84" s="470"/>
      <c r="I84" s="470"/>
      <c r="J84" s="470"/>
      <c r="K84" s="470"/>
      <c r="L84" s="470"/>
      <c r="M84" s="470"/>
      <c r="N84" s="470"/>
      <c r="O84" s="345"/>
      <c r="P84" s="346"/>
      <c r="Q84"/>
      <c r="R84"/>
      <c r="S84"/>
    </row>
    <row r="85" spans="1:19" ht="18" x14ac:dyDescent="0.2">
      <c r="P85" s="345"/>
      <c r="Q85" s="173"/>
      <c r="R85" s="173"/>
      <c r="S85" s="173"/>
    </row>
    <row r="86" spans="1:19" ht="18" x14ac:dyDescent="0.2">
      <c r="P86" s="105"/>
      <c r="Q86" s="173"/>
      <c r="R86" s="173"/>
      <c r="S86" s="173"/>
    </row>
    <row r="87" spans="1:19" x14ac:dyDescent="0.2">
      <c r="P87" s="105"/>
      <c r="Q87" s="105"/>
      <c r="R87" s="105"/>
      <c r="S87" s="105"/>
    </row>
    <row r="88" spans="1:19" x14ac:dyDescent="0.2">
      <c r="Q88" s="105"/>
      <c r="R88" s="105"/>
      <c r="S88" s="105"/>
    </row>
    <row r="89" spans="1:19" x14ac:dyDescent="0.2">
      <c r="Q89" s="105"/>
      <c r="R89" s="105"/>
      <c r="S89" s="105"/>
    </row>
    <row r="90" spans="1:19" x14ac:dyDescent="0.2">
      <c r="Q90" s="105"/>
      <c r="R90" s="105"/>
      <c r="S90" s="105"/>
    </row>
  </sheetData>
  <sheetProtection algorithmName="SHA-512" hashValue="GVprM00Q7erP3oUu2Y26gU/NbD5aNuVsj10qGcFs2MAxeDBEsPpfK0fAvuThv0vgEIBOltz9mBmRTeMKHR2iyQ==" saltValue="soPeEMHTzactiJFTdJgMvQ==" spinCount="100000" sheet="1" objects="1" scenarios="1"/>
  <mergeCells count="83">
    <mergeCell ref="D82:N82"/>
    <mergeCell ref="C83:N83"/>
    <mergeCell ref="C84:N84"/>
    <mergeCell ref="D60:N60"/>
    <mergeCell ref="C61:N61"/>
    <mergeCell ref="C62:N62"/>
    <mergeCell ref="D69:N69"/>
    <mergeCell ref="C70:N70"/>
    <mergeCell ref="D75:N75"/>
    <mergeCell ref="D64:N64"/>
    <mergeCell ref="D72:N72"/>
    <mergeCell ref="D65:N65"/>
    <mergeCell ref="D66:N66"/>
    <mergeCell ref="D67:N67"/>
    <mergeCell ref="D68:N68"/>
    <mergeCell ref="D74:N74"/>
    <mergeCell ref="T1:V1"/>
    <mergeCell ref="K2:L2"/>
    <mergeCell ref="D36:N36"/>
    <mergeCell ref="D30:N30"/>
    <mergeCell ref="D31:N31"/>
    <mergeCell ref="D32:N32"/>
    <mergeCell ref="D23:N23"/>
    <mergeCell ref="D24:N24"/>
    <mergeCell ref="D25:N25"/>
    <mergeCell ref="D8:N8"/>
    <mergeCell ref="D9:N9"/>
    <mergeCell ref="C1:G1"/>
    <mergeCell ref="C2:G2"/>
    <mergeCell ref="K1:L1"/>
    <mergeCell ref="E5:G5"/>
    <mergeCell ref="U4:V4"/>
    <mergeCell ref="D19:N19"/>
    <mergeCell ref="C20:N20"/>
    <mergeCell ref="C21:N21"/>
    <mergeCell ref="D80:N80"/>
    <mergeCell ref="D44:N44"/>
    <mergeCell ref="D59:N59"/>
    <mergeCell ref="D29:N29"/>
    <mergeCell ref="D43:N43"/>
    <mergeCell ref="D42:N42"/>
    <mergeCell ref="D39:N39"/>
    <mergeCell ref="D40:N40"/>
    <mergeCell ref="D41:N41"/>
    <mergeCell ref="D45:N45"/>
    <mergeCell ref="D46:N46"/>
    <mergeCell ref="D58:N58"/>
    <mergeCell ref="D55:N55"/>
    <mergeCell ref="D81:N81"/>
    <mergeCell ref="D47:N47"/>
    <mergeCell ref="D76:N76"/>
    <mergeCell ref="D77:N77"/>
    <mergeCell ref="D57:N57"/>
    <mergeCell ref="D63:N63"/>
    <mergeCell ref="D48:N48"/>
    <mergeCell ref="D52:N52"/>
    <mergeCell ref="D53:N53"/>
    <mergeCell ref="D78:N78"/>
    <mergeCell ref="D79:N79"/>
    <mergeCell ref="D73:N73"/>
    <mergeCell ref="C71:N71"/>
    <mergeCell ref="D56:N56"/>
    <mergeCell ref="D14:N14"/>
    <mergeCell ref="D15:N15"/>
    <mergeCell ref="D16:N16"/>
    <mergeCell ref="D17:N17"/>
    <mergeCell ref="D18:N18"/>
    <mergeCell ref="D10:N10"/>
    <mergeCell ref="D11:N11"/>
    <mergeCell ref="D54:N54"/>
    <mergeCell ref="D26:N26"/>
    <mergeCell ref="C27:N27"/>
    <mergeCell ref="C28:N28"/>
    <mergeCell ref="D33:N33"/>
    <mergeCell ref="C34:N34"/>
    <mergeCell ref="C35:N35"/>
    <mergeCell ref="D37:N37"/>
    <mergeCell ref="D49:N49"/>
    <mergeCell ref="C50:N50"/>
    <mergeCell ref="C51:N51"/>
    <mergeCell ref="D12:N12"/>
    <mergeCell ref="D13:N13"/>
    <mergeCell ref="D22:N22"/>
  </mergeCells>
  <phoneticPr fontId="18" type="noConversion"/>
  <conditionalFormatting sqref="M5">
    <cfRule type="containsText" dxfId="94" priority="4" operator="containsText" text="Fail">
      <formula>NOT(ISERROR(SEARCH("Fail",M5)))</formula>
    </cfRule>
  </conditionalFormatting>
  <conditionalFormatting sqref="P8:S19 P20 P22:S26 P29:S33 Q34:Q46 P36:P37 P39:P49 Q51:Q59 P52:P60 P63:P69 Q63:Q70 P72:P83 Q74:Q80">
    <cfRule type="containsText" dxfId="93" priority="1" operator="containsText" text="Fail">
      <formula>NOT(ISERROR(SEARCH("Fail",P8)))</formula>
    </cfRule>
  </conditionalFormatting>
  <conditionalFormatting sqref="Q85:S86">
    <cfRule type="containsText" dxfId="92" priority="6" operator="containsText" text="Fail">
      <formula>NOT(ISERROR(SEARCH("Fail",Q85)))</formula>
    </cfRule>
  </conditionalFormatting>
  <conditionalFormatting sqref="V1:V3 U4">
    <cfRule type="containsText" dxfId="91" priority="2" operator="containsText" text="Fail">
      <formula>NOT(ISERROR(SEARCH("Fail",U1)))</formula>
    </cfRule>
  </conditionalFormatting>
  <conditionalFormatting sqref="AF9">
    <cfRule type="containsText" dxfId="90" priority="5" operator="containsText" text="Fail">
      <formula>NOT(ISERROR(SEARCH("Fail",AF9)))</formula>
    </cfRule>
  </conditionalFormatting>
  <dataValidations count="4">
    <dataValidation type="whole" operator="greaterThan" allowBlank="1" showInputMessage="1" showErrorMessage="1" sqref="Y9:Y34" xr:uid="{F23E2C1C-F504-418D-9AAD-E23214FD5F66}">
      <formula1>0</formula1>
    </dataValidation>
    <dataValidation type="date" operator="greaterThan" allowBlank="1" showInputMessage="1" showErrorMessage="1" sqref="X9:X34" xr:uid="{7B7495DF-E8B0-40C7-B20B-A280BAD2BF32}">
      <formula1>36526</formula1>
    </dataValidation>
    <dataValidation type="list" showErrorMessage="1" errorTitle="Invalid Selection" error="Select either Yes, No, or N/A from the dropdown list. Click &quot;Cancel&quot; below, then update selection." sqref="O73:O82 O23:O26 O53:O60 O39:O49 O64:O69 O37 O30:O33 O9:O19" xr:uid="{70696C18-EE6C-43E0-BF7B-6C4BD0B4971F}">
      <formula1>"Yes,No,N/A"</formula1>
    </dataValidation>
    <dataValidation type="decimal" operator="greaterThanOrEqual" allowBlank="1" showInputMessage="1" showErrorMessage="1" errorTitle="Input Error" error="Insert the claimed amount with dollars and cents in $0.00 format. Click &quot;Cancel&quot; below and try again." sqref="Z9:Z34" xr:uid="{5FA619C6-A27D-424E-8930-ABD553250F8B}">
      <formula1>0</formula1>
    </dataValidation>
  </dataValidations>
  <pageMargins left="0.7" right="0.7" top="1" bottom="0.75" header="0.3" footer="0.3"/>
  <pageSetup scale="63" fitToHeight="0" orientation="portrait" r:id="rId1"/>
  <headerFooter>
    <oddHeader>&amp;CConfidential QI Report
San Diego County Mental Health Plan
Behavioral Health Services
Fiscal Year 23-24</oddHeader>
    <oddFooter>&amp;LFY 23-24 Medical Record Review Report - Excel - Rev. 7-1-23</oddFooter>
  </headerFooter>
  <colBreaks count="1" manualBreakCount="1">
    <brk id="15" max="82"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8595E827-9BD6-4E45-8888-E2CAFDA4D3B5}">
          <x14:formula1>
            <xm:f>Validations!$E$4:$E$15</xm:f>
          </x14:formula1>
          <xm:sqref>AA9:AA34</xm:sqref>
        </x14:dataValidation>
        <x14:dataValidation type="list" allowBlank="1" showInputMessage="1" showErrorMessage="1" xr:uid="{37F6BD2C-64BE-4C30-8F34-B36A28F15676}">
          <x14:formula1>
            <xm:f>Validations!$D$4:$D$7</xm:f>
          </x14:formula1>
          <xm:sqref>AB9:AB34</xm:sqref>
        </x14:dataValidation>
        <x14:dataValidation type="list" allowBlank="1" showInputMessage="1" showErrorMessage="1" xr:uid="{B8A7A3EE-817B-4F26-9693-DB01EA6D558E}">
          <x14:formula1>
            <xm:f>Validations!$C$4:$C$54</xm:f>
          </x14:formula1>
          <xm:sqref>W9:W34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3EF00-941C-4D20-B081-6045BFC323AC}">
  <sheetPr codeName="Sheet5">
    <tabColor theme="3" tint="0.39997558519241921"/>
  </sheetPr>
  <dimension ref="A1:AF90"/>
  <sheetViews>
    <sheetView showGridLines="0" view="pageBreakPreview" topLeftCell="A7" zoomScale="92" zoomScaleNormal="80" zoomScaleSheetLayoutView="92" workbookViewId="0">
      <selection activeCell="D12" sqref="D12:N12"/>
    </sheetView>
  </sheetViews>
  <sheetFormatPr defaultColWidth="9.5703125" defaultRowHeight="15" x14ac:dyDescent="0.2"/>
  <cols>
    <col min="1" max="1" width="7.7109375" style="106" customWidth="1"/>
    <col min="2" max="2" width="8.42578125" style="4" customWidth="1"/>
    <col min="3" max="3" width="8.42578125" style="5" customWidth="1"/>
    <col min="4" max="4" width="2.5703125" style="1" customWidth="1"/>
    <col min="5" max="5" width="7.140625" style="1" customWidth="1"/>
    <col min="6" max="6" width="8.5703125" style="1" customWidth="1"/>
    <col min="7" max="7" width="6.42578125" style="1" customWidth="1"/>
    <col min="8" max="8" width="4.7109375" style="1" customWidth="1"/>
    <col min="9" max="9" width="27.28515625" style="1" customWidth="1"/>
    <col min="10" max="10" width="2.5703125" style="1" customWidth="1"/>
    <col min="11" max="11" width="18.140625" style="1" customWidth="1"/>
    <col min="12" max="12" width="3.42578125" style="1" customWidth="1"/>
    <col min="13" max="13" width="12.140625" style="1" customWidth="1"/>
    <col min="14" max="14" width="9.5703125" style="1" customWidth="1"/>
    <col min="15" max="15" width="11.140625" style="1" customWidth="1"/>
    <col min="16" max="16" width="9.42578125" style="1" hidden="1" customWidth="1"/>
    <col min="17" max="19" width="2.5703125" style="1" customWidth="1"/>
    <col min="20" max="20" width="11.7109375" customWidth="1"/>
    <col min="21" max="21" width="12.42578125" customWidth="1"/>
    <col min="22" max="22" width="11.42578125" style="1" customWidth="1"/>
    <col min="23" max="23" width="21.5703125" style="1" customWidth="1"/>
    <col min="24" max="24" width="12.42578125" style="1" customWidth="1"/>
    <col min="25" max="25" width="9.5703125" style="1"/>
    <col min="26" max="26" width="12.140625" style="1" customWidth="1"/>
    <col min="27" max="27" width="14.140625" style="1" customWidth="1"/>
    <col min="28" max="28" width="16.42578125" style="1" customWidth="1"/>
    <col min="29" max="29" width="22.7109375" style="1" customWidth="1"/>
    <col min="30" max="16384" width="9.5703125" style="1"/>
  </cols>
  <sheetData>
    <row r="1" spans="1:32" s="5" customFormat="1" ht="15.75" x14ac:dyDescent="0.25">
      <c r="A1" s="106"/>
      <c r="B1" s="4"/>
      <c r="C1" s="560" t="s">
        <v>338</v>
      </c>
      <c r="D1" s="561"/>
      <c r="E1" s="561"/>
      <c r="F1" s="561"/>
      <c r="G1" s="562"/>
      <c r="H1"/>
      <c r="I1" s="86" t="s">
        <v>38</v>
      </c>
      <c r="J1" s="153"/>
      <c r="K1" s="560" t="s">
        <v>12</v>
      </c>
      <c r="L1" s="562"/>
      <c r="N1"/>
      <c r="O1"/>
      <c r="P1"/>
      <c r="Q1"/>
      <c r="R1"/>
      <c r="S1"/>
      <c r="T1" s="560" t="s">
        <v>260</v>
      </c>
      <c r="U1" s="561"/>
      <c r="V1" s="562"/>
      <c r="W1"/>
      <c r="X1"/>
      <c r="Y1"/>
      <c r="Z1"/>
      <c r="AA1"/>
      <c r="AB1"/>
      <c r="AC1"/>
    </row>
    <row r="2" spans="1:32" s="5" customFormat="1" ht="15" customHeight="1" x14ac:dyDescent="0.2">
      <c r="A2" s="106"/>
      <c r="B2" s="4"/>
      <c r="C2" s="583">
        <f>'Chart Review Info'!D3</f>
        <v>0</v>
      </c>
      <c r="D2" s="584"/>
      <c r="E2" s="584"/>
      <c r="F2" s="584"/>
      <c r="G2" s="585"/>
      <c r="H2"/>
      <c r="I2" s="150">
        <f>'Chart Review Info'!D4</f>
        <v>0</v>
      </c>
      <c r="J2" s="153"/>
      <c r="K2" s="592">
        <f>'Chart Review Info'!F16</f>
        <v>0</v>
      </c>
      <c r="L2" s="591"/>
      <c r="N2"/>
      <c r="O2"/>
      <c r="P2"/>
      <c r="Q2"/>
      <c r="R2"/>
      <c r="S2"/>
      <c r="T2" s="55">
        <f>'Chart Review Info'!G4</f>
        <v>0</v>
      </c>
      <c r="U2" s="82" t="s">
        <v>261</v>
      </c>
      <c r="V2" s="83">
        <f>'Chart Review Info'!G5</f>
        <v>0</v>
      </c>
      <c r="W2"/>
      <c r="X2"/>
      <c r="Y2"/>
      <c r="Z2"/>
      <c r="AA2"/>
      <c r="AB2"/>
      <c r="AC2"/>
    </row>
    <row r="3" spans="1:32" s="5" customFormat="1" x14ac:dyDescent="0.2">
      <c r="A3" s="106"/>
      <c r="B3" s="4"/>
      <c r="C3" s="84"/>
      <c r="H3"/>
      <c r="J3" s="98"/>
      <c r="W3"/>
      <c r="X3"/>
      <c r="Y3"/>
      <c r="Z3"/>
      <c r="AA3"/>
      <c r="AB3"/>
      <c r="AC3"/>
    </row>
    <row r="4" spans="1:32" s="5" customFormat="1" ht="15.75" x14ac:dyDescent="0.25">
      <c r="A4" s="106"/>
      <c r="B4" s="4"/>
      <c r="C4" s="85" t="s">
        <v>202</v>
      </c>
      <c r="E4" s="85" t="s">
        <v>86</v>
      </c>
      <c r="F4" s="86"/>
      <c r="G4" s="85"/>
      <c r="H4"/>
      <c r="I4" s="151" t="s">
        <v>350</v>
      </c>
      <c r="J4" s="98"/>
      <c r="K4" s="87" t="s">
        <v>260</v>
      </c>
      <c r="L4" s="88"/>
      <c r="O4" s="86" t="s">
        <v>294</v>
      </c>
      <c r="P4"/>
      <c r="Q4"/>
      <c r="R4"/>
      <c r="S4"/>
      <c r="T4" s="85" t="s">
        <v>12</v>
      </c>
      <c r="U4" s="563">
        <f>Prog_3</f>
        <v>0</v>
      </c>
      <c r="V4" s="564"/>
      <c r="W4"/>
      <c r="X4"/>
      <c r="Y4"/>
      <c r="Z4"/>
      <c r="AA4"/>
      <c r="AB4"/>
      <c r="AC4"/>
    </row>
    <row r="5" spans="1:32" s="5" customFormat="1" x14ac:dyDescent="0.2">
      <c r="A5" s="106"/>
      <c r="B5" s="4"/>
      <c r="C5" s="54">
        <v>3</v>
      </c>
      <c r="E5" s="589" t="str">
        <f>'Chart Review Info'!C16</f>
        <v>N/A</v>
      </c>
      <c r="F5" s="590"/>
      <c r="G5" s="591"/>
      <c r="H5"/>
      <c r="I5" s="152">
        <f>Consum_3</f>
        <v>0</v>
      </c>
      <c r="J5" s="98"/>
      <c r="K5" s="293">
        <f>'Chart Review Info'!G4</f>
        <v>0</v>
      </c>
      <c r="L5" s="102" t="s">
        <v>261</v>
      </c>
      <c r="M5" s="293">
        <f>'Chart Review Info'!G5</f>
        <v>0</v>
      </c>
      <c r="O5" s="54">
        <f>'Chart Review Info'!G16</f>
        <v>0</v>
      </c>
      <c r="P5"/>
      <c r="Q5"/>
      <c r="R5"/>
      <c r="S5"/>
      <c r="T5"/>
      <c r="U5"/>
      <c r="W5"/>
      <c r="X5"/>
      <c r="Y5"/>
      <c r="Z5" s="6" t="s">
        <v>514</v>
      </c>
      <c r="AA5"/>
      <c r="AB5"/>
      <c r="AC5"/>
    </row>
    <row r="6" spans="1:32" x14ac:dyDescent="0.2">
      <c r="C6" s="154"/>
      <c r="D6" s="158"/>
      <c r="E6" s="155"/>
      <c r="F6" s="155"/>
      <c r="G6" s="155"/>
      <c r="H6" s="155"/>
      <c r="I6" s="155"/>
      <c r="J6" s="155"/>
      <c r="K6" s="155"/>
      <c r="L6" s="155"/>
      <c r="M6" s="155"/>
      <c r="N6" s="155"/>
      <c r="O6" s="155"/>
      <c r="P6" s="155"/>
      <c r="Q6" s="155"/>
      <c r="R6" s="155"/>
      <c r="S6" s="155"/>
      <c r="U6" s="1"/>
      <c r="X6" s="51"/>
      <c r="Z6" s="329">
        <f>SUM(Z9:Z16)</f>
        <v>0</v>
      </c>
      <c r="AB6" s="13"/>
      <c r="AC6" s="13"/>
    </row>
    <row r="7" spans="1:32" ht="23.25" x14ac:dyDescent="0.25">
      <c r="C7" s="89" t="s">
        <v>262</v>
      </c>
      <c r="D7" s="159"/>
      <c r="E7" s="90"/>
      <c r="F7" s="90"/>
      <c r="G7" s="90"/>
      <c r="H7" s="90"/>
      <c r="I7" s="90"/>
      <c r="J7" s="90"/>
      <c r="K7" s="90"/>
      <c r="L7" s="90"/>
      <c r="M7" s="90"/>
      <c r="N7" s="90"/>
      <c r="O7" s="90"/>
      <c r="P7" s="90"/>
      <c r="T7" s="20"/>
      <c r="U7" s="21"/>
      <c r="V7" s="21"/>
      <c r="W7" s="21"/>
      <c r="X7" s="21"/>
      <c r="Y7" s="160" t="s">
        <v>263</v>
      </c>
      <c r="Z7" s="160"/>
      <c r="AA7" s="160"/>
      <c r="AB7" s="22"/>
      <c r="AC7" s="23"/>
    </row>
    <row r="8" spans="1:32" ht="27" customHeight="1" x14ac:dyDescent="0.25">
      <c r="C8" s="91" t="s">
        <v>264</v>
      </c>
      <c r="D8" s="588" t="s">
        <v>68</v>
      </c>
      <c r="E8" s="574"/>
      <c r="F8" s="574"/>
      <c r="G8" s="574"/>
      <c r="H8" s="574"/>
      <c r="I8" s="574"/>
      <c r="J8" s="574"/>
      <c r="K8" s="574"/>
      <c r="L8" s="574"/>
      <c r="M8" s="574"/>
      <c r="N8" s="574"/>
      <c r="O8" s="92" t="s">
        <v>265</v>
      </c>
      <c r="P8" s="92" t="s">
        <v>266</v>
      </c>
      <c r="Q8" s="359"/>
      <c r="R8" s="351"/>
      <c r="S8" s="351"/>
      <c r="T8" s="7" t="s">
        <v>449</v>
      </c>
      <c r="U8" s="9" t="s">
        <v>87</v>
      </c>
      <c r="V8" s="7" t="s">
        <v>88</v>
      </c>
      <c r="W8" s="7" t="s">
        <v>89</v>
      </c>
      <c r="X8" s="7" t="s">
        <v>90</v>
      </c>
      <c r="Y8" s="7" t="s">
        <v>644</v>
      </c>
      <c r="Z8" s="8" t="s">
        <v>201</v>
      </c>
      <c r="AA8" s="116" t="s">
        <v>91</v>
      </c>
      <c r="AB8" s="117" t="s">
        <v>95</v>
      </c>
      <c r="AC8" s="117" t="s">
        <v>92</v>
      </c>
    </row>
    <row r="9" spans="1:32" ht="60" customHeight="1" x14ac:dyDescent="0.2">
      <c r="A9" s="212" t="s">
        <v>73</v>
      </c>
      <c r="B9" s="93"/>
      <c r="C9" s="94" t="s">
        <v>204</v>
      </c>
      <c r="D9" s="567" t="s">
        <v>658</v>
      </c>
      <c r="E9" s="470"/>
      <c r="F9" s="470"/>
      <c r="G9" s="470"/>
      <c r="H9" s="470"/>
      <c r="I9" s="470"/>
      <c r="J9" s="470"/>
      <c r="K9" s="470"/>
      <c r="L9" s="470"/>
      <c r="M9" s="470"/>
      <c r="N9" s="471"/>
      <c r="O9" s="71"/>
      <c r="P9" s="95" t="str">
        <f t="shared" ref="P9:P12" si="0">IF(O9="","",IF(O9="Yes","Pass",IF(O9="No","Fail","N/A")))</f>
        <v/>
      </c>
      <c r="Q9" s="173"/>
      <c r="R9" s="173"/>
      <c r="S9" s="173"/>
      <c r="T9" s="124"/>
      <c r="U9" s="125"/>
      <c r="V9" s="125"/>
      <c r="W9" s="125"/>
      <c r="X9" s="126"/>
      <c r="Y9" s="125"/>
      <c r="Z9" s="127"/>
      <c r="AA9" s="128"/>
      <c r="AB9" s="129"/>
      <c r="AC9" s="130"/>
      <c r="AD9" s="96"/>
      <c r="AE9" s="96"/>
      <c r="AF9" s="96"/>
    </row>
    <row r="10" spans="1:32" ht="87" customHeight="1" x14ac:dyDescent="0.2">
      <c r="A10" s="107">
        <v>1</v>
      </c>
      <c r="B10" s="93"/>
      <c r="C10" s="94" t="s">
        <v>205</v>
      </c>
      <c r="D10" s="567" t="s">
        <v>528</v>
      </c>
      <c r="E10" s="586"/>
      <c r="F10" s="586"/>
      <c r="G10" s="586"/>
      <c r="H10" s="586"/>
      <c r="I10" s="586"/>
      <c r="J10" s="586"/>
      <c r="K10" s="586"/>
      <c r="L10" s="586"/>
      <c r="M10" s="586"/>
      <c r="N10" s="587"/>
      <c r="O10" s="71"/>
      <c r="P10" s="95" t="str">
        <f t="shared" si="0"/>
        <v/>
      </c>
      <c r="Q10" s="173"/>
      <c r="R10" s="173"/>
      <c r="S10" s="173"/>
      <c r="T10" s="124"/>
      <c r="U10" s="124"/>
      <c r="V10" s="124"/>
      <c r="W10" s="125"/>
      <c r="X10" s="131"/>
      <c r="Y10" s="124"/>
      <c r="Z10" s="127"/>
      <c r="AA10" s="128"/>
      <c r="AB10" s="129"/>
      <c r="AC10" s="129"/>
    </row>
    <row r="11" spans="1:32" ht="50.25" customHeight="1" x14ac:dyDescent="0.2">
      <c r="A11" s="107" t="s">
        <v>70</v>
      </c>
      <c r="B11" s="93"/>
      <c r="C11" s="94" t="s">
        <v>206</v>
      </c>
      <c r="D11" s="567" t="s">
        <v>529</v>
      </c>
      <c r="E11" s="586"/>
      <c r="F11" s="586"/>
      <c r="G11" s="586"/>
      <c r="H11" s="586"/>
      <c r="I11" s="586"/>
      <c r="J11" s="586"/>
      <c r="K11" s="586"/>
      <c r="L11" s="586"/>
      <c r="M11" s="586"/>
      <c r="N11" s="587"/>
      <c r="O11" s="71"/>
      <c r="P11" s="95" t="str">
        <f t="shared" si="0"/>
        <v/>
      </c>
      <c r="Q11" s="173"/>
      <c r="R11" s="173"/>
      <c r="S11" s="173"/>
      <c r="T11" s="124"/>
      <c r="U11" s="124"/>
      <c r="V11" s="124"/>
      <c r="W11" s="125"/>
      <c r="X11" s="131"/>
      <c r="Y11" s="124"/>
      <c r="Z11" s="127"/>
      <c r="AA11" s="128"/>
      <c r="AB11" s="129"/>
      <c r="AC11" s="129"/>
    </row>
    <row r="12" spans="1:32" ht="33.75" customHeight="1" x14ac:dyDescent="0.2">
      <c r="A12" s="106">
        <v>1</v>
      </c>
      <c r="C12" s="94" t="s">
        <v>207</v>
      </c>
      <c r="D12" s="567" t="s">
        <v>659</v>
      </c>
      <c r="E12" s="586"/>
      <c r="F12" s="586"/>
      <c r="G12" s="586"/>
      <c r="H12" s="586"/>
      <c r="I12" s="586"/>
      <c r="J12" s="586"/>
      <c r="K12" s="586"/>
      <c r="L12" s="586"/>
      <c r="M12" s="586"/>
      <c r="N12" s="587"/>
      <c r="O12" s="71"/>
      <c r="P12" s="95" t="str">
        <f t="shared" si="0"/>
        <v/>
      </c>
      <c r="Q12" s="173"/>
      <c r="R12" s="173"/>
      <c r="S12" s="173"/>
      <c r="T12" s="124"/>
      <c r="U12" s="124"/>
      <c r="V12" s="124"/>
      <c r="W12" s="125"/>
      <c r="X12" s="131"/>
      <c r="Y12" s="124"/>
      <c r="Z12" s="127"/>
      <c r="AA12" s="128"/>
      <c r="AB12" s="129"/>
      <c r="AC12" s="129"/>
    </row>
    <row r="13" spans="1:32" ht="36" customHeight="1" x14ac:dyDescent="0.2">
      <c r="A13" s="107">
        <v>1</v>
      </c>
      <c r="B13" s="93"/>
      <c r="C13" s="97" t="s">
        <v>208</v>
      </c>
      <c r="D13" s="567" t="s">
        <v>656</v>
      </c>
      <c r="E13" s="470"/>
      <c r="F13" s="470"/>
      <c r="G13" s="470"/>
      <c r="H13" s="470"/>
      <c r="I13" s="470"/>
      <c r="J13" s="470"/>
      <c r="K13" s="470"/>
      <c r="L13" s="470"/>
      <c r="M13" s="470"/>
      <c r="N13" s="471"/>
      <c r="O13" s="71"/>
      <c r="P13" s="95" t="str">
        <f t="shared" ref="P13:P19" si="1">IF(O13="","",IF(O13="Yes","Pass",IF(O13="No","Fail","N/A")))</f>
        <v/>
      </c>
      <c r="Q13" s="173"/>
      <c r="R13" s="173"/>
      <c r="S13" s="173"/>
      <c r="T13" s="124"/>
      <c r="U13" s="124"/>
      <c r="V13" s="124"/>
      <c r="W13" s="125"/>
      <c r="X13" s="131"/>
      <c r="Y13" s="124"/>
      <c r="Z13" s="127"/>
      <c r="AA13" s="128"/>
      <c r="AB13" s="129"/>
      <c r="AC13" s="129"/>
    </row>
    <row r="14" spans="1:32" ht="46.5" customHeight="1" x14ac:dyDescent="0.2">
      <c r="A14" s="107" t="s">
        <v>70</v>
      </c>
      <c r="B14" s="93"/>
      <c r="C14" s="97" t="s">
        <v>209</v>
      </c>
      <c r="D14" s="567" t="s">
        <v>530</v>
      </c>
      <c r="E14" s="586"/>
      <c r="F14" s="586"/>
      <c r="G14" s="586"/>
      <c r="H14" s="586"/>
      <c r="I14" s="586"/>
      <c r="J14" s="586"/>
      <c r="K14" s="586"/>
      <c r="L14" s="586"/>
      <c r="M14" s="586"/>
      <c r="N14" s="587"/>
      <c r="O14" s="71"/>
      <c r="P14" s="95" t="str">
        <f t="shared" si="1"/>
        <v/>
      </c>
      <c r="Q14" s="173"/>
      <c r="R14" s="173"/>
      <c r="S14" s="173"/>
      <c r="T14" s="124"/>
      <c r="U14" s="124"/>
      <c r="V14" s="124"/>
      <c r="W14" s="125"/>
      <c r="X14" s="131"/>
      <c r="Y14" s="124"/>
      <c r="Z14" s="127"/>
      <c r="AA14" s="128"/>
      <c r="AB14" s="129"/>
      <c r="AC14" s="129"/>
    </row>
    <row r="15" spans="1:32" ht="49.5" customHeight="1" x14ac:dyDescent="0.2">
      <c r="A15" s="107">
        <v>1</v>
      </c>
      <c r="B15" s="93"/>
      <c r="C15" s="94" t="s">
        <v>210</v>
      </c>
      <c r="D15" s="567" t="s">
        <v>531</v>
      </c>
      <c r="E15" s="586"/>
      <c r="F15" s="586"/>
      <c r="G15" s="586"/>
      <c r="H15" s="586"/>
      <c r="I15" s="586"/>
      <c r="J15" s="586"/>
      <c r="K15" s="586"/>
      <c r="L15" s="586"/>
      <c r="M15" s="586"/>
      <c r="N15" s="587"/>
      <c r="O15" s="71"/>
      <c r="P15" s="95" t="str">
        <f t="shared" si="1"/>
        <v/>
      </c>
      <c r="Q15" s="173"/>
      <c r="R15" s="173"/>
      <c r="S15" s="173"/>
      <c r="T15" s="124"/>
      <c r="U15" s="124"/>
      <c r="V15" s="124"/>
      <c r="W15" s="125"/>
      <c r="X15" s="131"/>
      <c r="Y15" s="124"/>
      <c r="Z15" s="127"/>
      <c r="AA15" s="128"/>
      <c r="AB15" s="129"/>
      <c r="AC15" s="129"/>
    </row>
    <row r="16" spans="1:32" ht="66.75" customHeight="1" x14ac:dyDescent="0.2">
      <c r="A16" s="106">
        <v>1</v>
      </c>
      <c r="C16" s="97" t="s">
        <v>211</v>
      </c>
      <c r="D16" s="567" t="s">
        <v>532</v>
      </c>
      <c r="E16" s="586"/>
      <c r="F16" s="586"/>
      <c r="G16" s="586"/>
      <c r="H16" s="586"/>
      <c r="I16" s="586"/>
      <c r="J16" s="586"/>
      <c r="K16" s="586"/>
      <c r="L16" s="586"/>
      <c r="M16" s="586"/>
      <c r="N16" s="587"/>
      <c r="O16" s="71"/>
      <c r="P16" s="95" t="str">
        <f t="shared" si="1"/>
        <v/>
      </c>
      <c r="Q16" s="173"/>
      <c r="R16" s="173"/>
      <c r="S16" s="173"/>
      <c r="T16" s="124"/>
      <c r="U16" s="124"/>
      <c r="V16" s="124"/>
      <c r="W16" s="125"/>
      <c r="X16" s="131"/>
      <c r="Y16" s="124"/>
      <c r="Z16" s="127"/>
      <c r="AA16" s="128"/>
      <c r="AB16" s="129"/>
      <c r="AC16" s="129"/>
    </row>
    <row r="17" spans="1:29" ht="39" customHeight="1" x14ac:dyDescent="0.2">
      <c r="A17" s="107" t="s">
        <v>70</v>
      </c>
      <c r="B17" s="93"/>
      <c r="C17" s="97" t="s">
        <v>212</v>
      </c>
      <c r="D17" s="567" t="s">
        <v>533</v>
      </c>
      <c r="E17" s="586"/>
      <c r="F17" s="586"/>
      <c r="G17" s="586"/>
      <c r="H17" s="586"/>
      <c r="I17" s="586"/>
      <c r="J17" s="586"/>
      <c r="K17" s="586"/>
      <c r="L17" s="586"/>
      <c r="M17" s="586"/>
      <c r="N17" s="587"/>
      <c r="O17" s="71"/>
      <c r="P17" s="95" t="str">
        <f t="shared" si="1"/>
        <v/>
      </c>
      <c r="Q17" s="173"/>
      <c r="R17" s="173"/>
      <c r="S17" s="173"/>
      <c r="T17" s="124"/>
      <c r="U17" s="124"/>
      <c r="V17" s="124"/>
      <c r="W17" s="125"/>
      <c r="X17" s="131"/>
      <c r="Y17" s="124"/>
      <c r="Z17" s="127"/>
      <c r="AA17" s="128"/>
      <c r="AB17" s="129"/>
      <c r="AC17" s="129"/>
    </row>
    <row r="18" spans="1:29" ht="83.25" customHeight="1" x14ac:dyDescent="0.2">
      <c r="A18" s="107" t="s">
        <v>70</v>
      </c>
      <c r="B18" s="93"/>
      <c r="C18" s="94" t="s">
        <v>657</v>
      </c>
      <c r="D18" s="567" t="s">
        <v>534</v>
      </c>
      <c r="E18" s="586"/>
      <c r="F18" s="586"/>
      <c r="G18" s="586"/>
      <c r="H18" s="586"/>
      <c r="I18" s="586"/>
      <c r="J18" s="586"/>
      <c r="K18" s="586"/>
      <c r="L18" s="586"/>
      <c r="M18" s="586"/>
      <c r="N18" s="587"/>
      <c r="O18" s="71"/>
      <c r="P18" s="95" t="str">
        <f t="shared" si="1"/>
        <v/>
      </c>
      <c r="Q18" s="173"/>
      <c r="R18" s="173"/>
      <c r="S18" s="173"/>
      <c r="T18" s="124"/>
      <c r="U18" s="124"/>
      <c r="V18" s="124"/>
      <c r="W18" s="125"/>
      <c r="X18" s="131"/>
      <c r="Y18" s="124"/>
      <c r="Z18" s="127"/>
      <c r="AA18" s="128"/>
      <c r="AB18" s="129"/>
      <c r="AC18" s="129"/>
    </row>
    <row r="19" spans="1:29" ht="47.25" customHeight="1" x14ac:dyDescent="0.2">
      <c r="A19" s="107" t="s">
        <v>81</v>
      </c>
      <c r="B19" s="93"/>
      <c r="C19" s="391" t="s">
        <v>213</v>
      </c>
      <c r="D19" s="571" t="s">
        <v>535</v>
      </c>
      <c r="E19" s="572"/>
      <c r="F19" s="572"/>
      <c r="G19" s="572"/>
      <c r="H19" s="572"/>
      <c r="I19" s="572"/>
      <c r="J19" s="572"/>
      <c r="K19" s="572"/>
      <c r="L19" s="572"/>
      <c r="M19" s="572"/>
      <c r="N19" s="572"/>
      <c r="O19" s="71"/>
      <c r="P19" s="95" t="str">
        <f t="shared" si="1"/>
        <v/>
      </c>
      <c r="Q19" s="173"/>
      <c r="R19" s="173"/>
      <c r="S19" s="173"/>
      <c r="T19" s="124"/>
      <c r="U19" s="124"/>
      <c r="V19" s="124"/>
      <c r="W19" s="125"/>
      <c r="X19" s="131"/>
      <c r="Y19" s="124"/>
      <c r="Z19" s="127"/>
      <c r="AA19" s="128"/>
      <c r="AB19" s="129"/>
      <c r="AC19" s="129"/>
    </row>
    <row r="20" spans="1:29" ht="22.5" customHeight="1" x14ac:dyDescent="0.2">
      <c r="A20" s="106">
        <v>1</v>
      </c>
      <c r="B20" s="93"/>
      <c r="C20" s="575" t="s">
        <v>267</v>
      </c>
      <c r="D20" s="470"/>
      <c r="E20" s="470"/>
      <c r="F20" s="470"/>
      <c r="G20" s="470"/>
      <c r="H20" s="470"/>
      <c r="I20" s="470"/>
      <c r="J20" s="470"/>
      <c r="K20" s="470"/>
      <c r="L20" s="470"/>
      <c r="M20" s="470"/>
      <c r="N20" s="470"/>
      <c r="O20"/>
      <c r="P20" s="392"/>
      <c r="Q20" s="174"/>
      <c r="R20" s="174"/>
      <c r="S20" s="174"/>
      <c r="T20" s="124"/>
      <c r="U20" s="124"/>
      <c r="V20" s="124"/>
      <c r="W20" s="125"/>
      <c r="X20" s="131"/>
      <c r="Y20" s="124"/>
      <c r="Z20" s="127"/>
      <c r="AA20" s="128"/>
      <c r="AB20" s="129"/>
      <c r="AC20" s="129"/>
    </row>
    <row r="21" spans="1:29" ht="30.75" customHeight="1" x14ac:dyDescent="0.2">
      <c r="A21" s="107" t="s">
        <v>73</v>
      </c>
      <c r="C21" s="581" t="s">
        <v>17</v>
      </c>
      <c r="D21" s="470"/>
      <c r="E21" s="470"/>
      <c r="F21" s="470"/>
      <c r="G21" s="470"/>
      <c r="H21" s="470"/>
      <c r="I21" s="470"/>
      <c r="J21" s="470"/>
      <c r="K21" s="470"/>
      <c r="L21" s="470"/>
      <c r="M21" s="470"/>
      <c r="N21" s="471"/>
      <c r="O21" s="345"/>
      <c r="P21" s="343"/>
      <c r="Q21" s="172"/>
      <c r="R21" s="172"/>
      <c r="S21" s="172"/>
      <c r="T21" s="124"/>
      <c r="U21" s="124"/>
      <c r="V21" s="124"/>
      <c r="W21" s="125"/>
      <c r="X21" s="131"/>
      <c r="Y21" s="124"/>
      <c r="Z21" s="132"/>
      <c r="AA21" s="128"/>
      <c r="AB21" s="129"/>
      <c r="AC21" s="129"/>
    </row>
    <row r="22" spans="1:29" ht="18" customHeight="1" x14ac:dyDescent="0.25">
      <c r="C22" s="100" t="s">
        <v>264</v>
      </c>
      <c r="D22" s="573" t="s">
        <v>71</v>
      </c>
      <c r="E22" s="574"/>
      <c r="F22" s="574"/>
      <c r="G22" s="574"/>
      <c r="H22" s="574"/>
      <c r="I22" s="574"/>
      <c r="J22" s="574"/>
      <c r="K22" s="574"/>
      <c r="L22" s="574"/>
      <c r="M22" s="574"/>
      <c r="N22" s="440"/>
      <c r="O22" s="101" t="s">
        <v>265</v>
      </c>
      <c r="P22" s="101" t="s">
        <v>266</v>
      </c>
      <c r="Q22" s="359"/>
      <c r="R22" s="359"/>
      <c r="S22" s="359"/>
      <c r="T22" s="124"/>
      <c r="U22" s="124"/>
      <c r="V22" s="124"/>
      <c r="W22" s="125"/>
      <c r="X22" s="131"/>
      <c r="Y22" s="124"/>
      <c r="Z22" s="127"/>
      <c r="AA22" s="128"/>
      <c r="AB22" s="129"/>
      <c r="AC22" s="129"/>
    </row>
    <row r="23" spans="1:29" ht="18" customHeight="1" x14ac:dyDescent="0.2">
      <c r="A23" s="106">
        <v>1</v>
      </c>
      <c r="C23" s="102" t="s">
        <v>215</v>
      </c>
      <c r="D23" s="567" t="s">
        <v>268</v>
      </c>
      <c r="E23" s="470"/>
      <c r="F23" s="470"/>
      <c r="G23" s="470"/>
      <c r="H23" s="470"/>
      <c r="I23" s="470"/>
      <c r="J23" s="470"/>
      <c r="K23" s="470"/>
      <c r="L23" s="470"/>
      <c r="M23" s="470"/>
      <c r="N23" s="471"/>
      <c r="O23" s="71"/>
      <c r="P23" s="95" t="str">
        <f>IF(O23="","",IF(O23="Yes","Pass",IF(O23="No","Fail","N/A")))</f>
        <v/>
      </c>
      <c r="Q23" s="173"/>
      <c r="R23" s="173"/>
      <c r="S23" s="173"/>
      <c r="T23" s="124"/>
      <c r="U23" s="124"/>
      <c r="V23" s="124"/>
      <c r="W23" s="125"/>
      <c r="X23" s="131"/>
      <c r="Y23" s="124"/>
      <c r="Z23" s="127"/>
      <c r="AA23" s="128"/>
      <c r="AB23" s="129"/>
      <c r="AC23" s="129"/>
    </row>
    <row r="24" spans="1:29" ht="45" customHeight="1" x14ac:dyDescent="0.2">
      <c r="A24" s="107" t="s">
        <v>69</v>
      </c>
      <c r="C24" s="97" t="s">
        <v>216</v>
      </c>
      <c r="D24" s="567" t="s">
        <v>269</v>
      </c>
      <c r="E24" s="470"/>
      <c r="F24" s="470"/>
      <c r="G24" s="470"/>
      <c r="H24" s="470"/>
      <c r="I24" s="470"/>
      <c r="J24" s="470"/>
      <c r="K24" s="470"/>
      <c r="L24" s="470"/>
      <c r="M24" s="470"/>
      <c r="N24" s="471"/>
      <c r="O24" s="71"/>
      <c r="P24" s="95" t="str">
        <f>IF(O24="","",IF(O24="Yes","Pass",IF(O24="No","Fail","N/A")))</f>
        <v/>
      </c>
      <c r="Q24" s="173"/>
      <c r="R24" s="173"/>
      <c r="S24" s="173"/>
      <c r="T24" s="124"/>
      <c r="U24" s="124"/>
      <c r="V24" s="124"/>
      <c r="W24" s="125"/>
      <c r="X24" s="131"/>
      <c r="Y24" s="124"/>
      <c r="Z24" s="127"/>
      <c r="AA24" s="128"/>
      <c r="AB24" s="129"/>
      <c r="AC24" s="129"/>
    </row>
    <row r="25" spans="1:29" ht="45" customHeight="1" x14ac:dyDescent="0.2">
      <c r="A25" s="107" t="s">
        <v>69</v>
      </c>
      <c r="B25" s="93"/>
      <c r="C25" s="97" t="s">
        <v>217</v>
      </c>
      <c r="D25" s="567" t="s">
        <v>270</v>
      </c>
      <c r="E25" s="470"/>
      <c r="F25" s="470"/>
      <c r="G25" s="470"/>
      <c r="H25" s="470"/>
      <c r="I25" s="470"/>
      <c r="J25" s="470"/>
      <c r="K25" s="470"/>
      <c r="L25" s="470"/>
      <c r="M25" s="470"/>
      <c r="N25" s="471"/>
      <c r="O25" s="71"/>
      <c r="P25" s="95" t="str">
        <f>IF(O25="","",IF(O25="Yes","Pass",IF(O25="No","Fail","N/A")))</f>
        <v/>
      </c>
      <c r="Q25" s="173"/>
      <c r="R25" s="173"/>
      <c r="S25" s="173"/>
      <c r="T25" s="124"/>
      <c r="U25" s="124"/>
      <c r="V25" s="124"/>
      <c r="W25" s="125"/>
      <c r="X25" s="131"/>
      <c r="Y25" s="124"/>
      <c r="Z25" s="127"/>
      <c r="AA25" s="128"/>
      <c r="AB25" s="129"/>
      <c r="AC25" s="129"/>
    </row>
    <row r="26" spans="1:29" ht="51.75" customHeight="1" x14ac:dyDescent="0.2">
      <c r="A26" s="107" t="s">
        <v>69</v>
      </c>
      <c r="B26" s="93"/>
      <c r="C26" s="97" t="s">
        <v>218</v>
      </c>
      <c r="D26" s="567" t="s">
        <v>271</v>
      </c>
      <c r="E26" s="470"/>
      <c r="F26" s="470"/>
      <c r="G26" s="470"/>
      <c r="H26" s="470"/>
      <c r="I26" s="470"/>
      <c r="J26" s="470"/>
      <c r="K26" s="470"/>
      <c r="L26" s="470"/>
      <c r="M26" s="470"/>
      <c r="N26" s="470"/>
      <c r="O26" s="71"/>
      <c r="P26" s="95" t="str">
        <f>IF(O26="","",IF(O26="Yes","Pass",IF(O26="No","Fail","N/A")))</f>
        <v/>
      </c>
      <c r="Q26" s="173"/>
      <c r="R26" s="173"/>
      <c r="S26" s="173"/>
      <c r="T26" s="124"/>
      <c r="U26" s="124"/>
      <c r="V26" s="124"/>
      <c r="W26" s="125"/>
      <c r="X26" s="131"/>
      <c r="Y26" s="124"/>
      <c r="Z26" s="127"/>
      <c r="AA26" s="128"/>
      <c r="AB26" s="129"/>
      <c r="AC26" s="129"/>
    </row>
    <row r="27" spans="1:29" ht="22.5" customHeight="1" x14ac:dyDescent="0.2">
      <c r="A27" s="106">
        <v>1</v>
      </c>
      <c r="B27" s="93"/>
      <c r="C27" s="580" t="s">
        <v>272</v>
      </c>
      <c r="D27" s="470"/>
      <c r="E27" s="470"/>
      <c r="F27" s="470"/>
      <c r="G27" s="470"/>
      <c r="H27" s="470"/>
      <c r="I27" s="470"/>
      <c r="J27" s="470"/>
      <c r="K27" s="470"/>
      <c r="L27" s="470"/>
      <c r="M27" s="470"/>
      <c r="N27" s="470"/>
      <c r="O27" s="341"/>
      <c r="Q27" s="123"/>
      <c r="R27" s="123"/>
      <c r="S27" s="123"/>
      <c r="T27" s="124"/>
      <c r="U27" s="124"/>
      <c r="V27" s="124"/>
      <c r="W27" s="125"/>
      <c r="X27" s="131"/>
      <c r="Y27" s="124"/>
      <c r="Z27" s="127"/>
      <c r="AA27" s="128"/>
      <c r="AB27" s="129"/>
      <c r="AC27" s="129"/>
    </row>
    <row r="28" spans="1:29" ht="29.25" customHeight="1" x14ac:dyDescent="0.2">
      <c r="A28" s="107" t="s">
        <v>73</v>
      </c>
      <c r="C28" s="581" t="s">
        <v>17</v>
      </c>
      <c r="D28" s="470"/>
      <c r="E28" s="470"/>
      <c r="F28" s="470"/>
      <c r="G28" s="470"/>
      <c r="H28" s="470"/>
      <c r="I28" s="470"/>
      <c r="J28" s="470"/>
      <c r="K28" s="470"/>
      <c r="L28" s="470"/>
      <c r="M28" s="470"/>
      <c r="N28" s="470"/>
      <c r="O28" s="345"/>
      <c r="P28" s="340"/>
      <c r="Q28" s="123"/>
      <c r="R28" s="123"/>
      <c r="S28" s="123"/>
      <c r="T28" s="124"/>
      <c r="U28" s="124"/>
      <c r="V28" s="124"/>
      <c r="W28" s="125"/>
      <c r="X28" s="131"/>
      <c r="Y28" s="133"/>
      <c r="Z28" s="132"/>
      <c r="AA28" s="128"/>
      <c r="AB28" s="129"/>
      <c r="AC28" s="129"/>
    </row>
    <row r="29" spans="1:29" ht="24" customHeight="1" x14ac:dyDescent="0.25">
      <c r="C29" s="100" t="s">
        <v>264</v>
      </c>
      <c r="D29" s="573" t="s">
        <v>465</v>
      </c>
      <c r="E29" s="574"/>
      <c r="F29" s="574"/>
      <c r="G29" s="574"/>
      <c r="H29" s="574"/>
      <c r="I29" s="574"/>
      <c r="J29" s="574"/>
      <c r="K29" s="574"/>
      <c r="L29" s="574"/>
      <c r="M29" s="574"/>
      <c r="N29" s="574"/>
      <c r="O29" s="101" t="s">
        <v>265</v>
      </c>
      <c r="P29" s="101" t="s">
        <v>266</v>
      </c>
      <c r="Q29" s="359"/>
      <c r="R29" s="359"/>
      <c r="S29" s="359"/>
      <c r="T29" s="124"/>
      <c r="U29" s="124"/>
      <c r="V29" s="124"/>
      <c r="W29" s="125"/>
      <c r="X29" s="131"/>
      <c r="Y29" s="133"/>
      <c r="Z29" s="132"/>
      <c r="AA29" s="128"/>
      <c r="AB29" s="129"/>
      <c r="AC29" s="129"/>
    </row>
    <row r="30" spans="1:29" ht="66" customHeight="1" x14ac:dyDescent="0.2">
      <c r="A30" s="107" t="s">
        <v>69</v>
      </c>
      <c r="C30" s="102" t="s">
        <v>466</v>
      </c>
      <c r="D30" s="567" t="s">
        <v>467</v>
      </c>
      <c r="E30" s="572"/>
      <c r="F30" s="572"/>
      <c r="G30" s="572"/>
      <c r="H30" s="572"/>
      <c r="I30" s="572"/>
      <c r="J30" s="572"/>
      <c r="K30" s="572"/>
      <c r="L30" s="572"/>
      <c r="M30" s="572"/>
      <c r="N30" s="572"/>
      <c r="O30" s="71"/>
      <c r="P30" s="95" t="str">
        <f t="shared" ref="P30:P31" si="2">IF(O30="","",IF(O30="Yes","Pass",IF(O30="No","Fail","N/A")))</f>
        <v/>
      </c>
      <c r="Q30" s="173"/>
      <c r="R30" s="173"/>
      <c r="S30" s="173"/>
      <c r="T30" s="124"/>
      <c r="U30" s="124"/>
      <c r="V30" s="124"/>
      <c r="W30" s="125"/>
      <c r="X30" s="131"/>
      <c r="Y30" s="133"/>
      <c r="Z30" s="132"/>
      <c r="AA30" s="128"/>
      <c r="AB30" s="129"/>
      <c r="AC30" s="129"/>
    </row>
    <row r="31" spans="1:29" ht="33.75" customHeight="1" x14ac:dyDescent="0.2">
      <c r="A31" s="107" t="s">
        <v>73</v>
      </c>
      <c r="B31" s="93"/>
      <c r="C31" s="102" t="s">
        <v>471</v>
      </c>
      <c r="D31" s="579" t="s">
        <v>468</v>
      </c>
      <c r="E31" s="572"/>
      <c r="F31" s="572"/>
      <c r="G31" s="572"/>
      <c r="H31" s="572"/>
      <c r="I31" s="572"/>
      <c r="J31" s="572"/>
      <c r="K31" s="572"/>
      <c r="L31" s="572"/>
      <c r="M31" s="572"/>
      <c r="N31" s="572"/>
      <c r="O31" s="71"/>
      <c r="P31" s="95" t="str">
        <f t="shared" si="2"/>
        <v/>
      </c>
      <c r="Q31" s="173"/>
      <c r="R31" s="173"/>
      <c r="S31" s="173"/>
      <c r="T31" s="124"/>
      <c r="U31" s="124"/>
      <c r="V31" s="124"/>
      <c r="W31" s="125"/>
      <c r="X31" s="131"/>
      <c r="Y31" s="133"/>
      <c r="Z31" s="132"/>
      <c r="AA31" s="128"/>
      <c r="AB31" s="129"/>
      <c r="AC31" s="129"/>
    </row>
    <row r="32" spans="1:29" ht="45" customHeight="1" x14ac:dyDescent="0.2">
      <c r="A32" s="107" t="s">
        <v>69</v>
      </c>
      <c r="B32" s="93"/>
      <c r="C32" s="102" t="s">
        <v>472</v>
      </c>
      <c r="D32" s="579" t="s">
        <v>469</v>
      </c>
      <c r="E32" s="572"/>
      <c r="F32" s="572"/>
      <c r="G32" s="572"/>
      <c r="H32" s="572"/>
      <c r="I32" s="572"/>
      <c r="J32" s="572"/>
      <c r="K32" s="572"/>
      <c r="L32" s="572"/>
      <c r="M32" s="572"/>
      <c r="N32" s="572"/>
      <c r="O32" s="71"/>
      <c r="P32" s="95" t="str">
        <f>IF(O32="","",IF(O32="Yes","Pass",IF(O32="No","Fail","N/A")))</f>
        <v/>
      </c>
      <c r="Q32" s="173"/>
      <c r="R32" s="173"/>
      <c r="S32" s="173"/>
      <c r="T32" s="124"/>
      <c r="U32" s="124"/>
      <c r="V32" s="124"/>
      <c r="W32" s="125"/>
      <c r="X32" s="131"/>
      <c r="Y32" s="133"/>
      <c r="Z32" s="132"/>
      <c r="AA32" s="128"/>
      <c r="AB32" s="129"/>
      <c r="AC32" s="129"/>
    </row>
    <row r="33" spans="1:29" ht="30" customHeight="1" x14ac:dyDescent="0.2">
      <c r="A33" s="107" t="s">
        <v>70</v>
      </c>
      <c r="B33" s="93"/>
      <c r="C33" s="102" t="s">
        <v>473</v>
      </c>
      <c r="D33" s="579" t="s">
        <v>470</v>
      </c>
      <c r="E33" s="572"/>
      <c r="F33" s="572"/>
      <c r="G33" s="572"/>
      <c r="H33" s="572"/>
      <c r="I33" s="572"/>
      <c r="J33" s="572"/>
      <c r="K33" s="572"/>
      <c r="L33" s="572"/>
      <c r="M33" s="572"/>
      <c r="N33" s="572"/>
      <c r="O33" s="71"/>
      <c r="P33" s="95" t="str">
        <f>IF(O33="","",IF(O33="Yes","Pass",IF(O33="No","Fail","N/A")))</f>
        <v/>
      </c>
      <c r="Q33" s="173"/>
      <c r="R33" s="173"/>
      <c r="S33" s="173"/>
      <c r="T33" s="124"/>
      <c r="U33" s="124"/>
      <c r="V33" s="124"/>
      <c r="W33" s="125"/>
      <c r="X33" s="131"/>
      <c r="Y33" s="133"/>
      <c r="Z33" s="132"/>
      <c r="AA33" s="128"/>
      <c r="AB33" s="129"/>
      <c r="AC33" s="129"/>
    </row>
    <row r="34" spans="1:29" ht="24" customHeight="1" x14ac:dyDescent="0.2">
      <c r="A34" s="107" t="s">
        <v>69</v>
      </c>
      <c r="B34" s="93"/>
      <c r="C34" s="580" t="s">
        <v>545</v>
      </c>
      <c r="D34" s="470"/>
      <c r="E34" s="470"/>
      <c r="F34" s="470"/>
      <c r="G34" s="470"/>
      <c r="H34" s="470"/>
      <c r="I34" s="470"/>
      <c r="J34" s="470"/>
      <c r="K34" s="470"/>
      <c r="L34" s="470"/>
      <c r="M34" s="470"/>
      <c r="N34" s="470"/>
      <c r="O34" s="341"/>
      <c r="Q34" s="359"/>
      <c r="T34" s="124"/>
      <c r="U34" s="124"/>
      <c r="V34" s="124"/>
      <c r="W34" s="125"/>
      <c r="X34" s="131"/>
      <c r="Y34" s="133"/>
      <c r="Z34" s="132"/>
      <c r="AA34" s="128"/>
      <c r="AB34" s="129"/>
      <c r="AC34" s="129"/>
    </row>
    <row r="35" spans="1:29" ht="27.75" customHeight="1" x14ac:dyDescent="0.2">
      <c r="A35" s="107" t="s">
        <v>69</v>
      </c>
      <c r="B35" s="93"/>
      <c r="C35" s="581" t="s">
        <v>17</v>
      </c>
      <c r="D35" s="470"/>
      <c r="E35" s="470"/>
      <c r="F35" s="470"/>
      <c r="G35" s="470"/>
      <c r="H35" s="470"/>
      <c r="I35" s="470"/>
      <c r="J35" s="470"/>
      <c r="K35" s="470"/>
      <c r="L35" s="470"/>
      <c r="M35" s="470"/>
      <c r="N35" s="470"/>
      <c r="O35" s="345"/>
      <c r="Q35" s="173"/>
      <c r="R35"/>
      <c r="S35"/>
      <c r="V35"/>
      <c r="W35"/>
      <c r="X35"/>
      <c r="Y35"/>
      <c r="Z35"/>
      <c r="AA35"/>
      <c r="AB35"/>
      <c r="AC35"/>
    </row>
    <row r="36" spans="1:29" ht="24.75" customHeight="1" x14ac:dyDescent="0.25">
      <c r="A36" s="107" t="s">
        <v>70</v>
      </c>
      <c r="B36" s="93"/>
      <c r="C36" s="100" t="s">
        <v>264</v>
      </c>
      <c r="D36" s="573" t="s">
        <v>72</v>
      </c>
      <c r="E36" s="574"/>
      <c r="F36" s="574"/>
      <c r="G36" s="574"/>
      <c r="H36" s="574"/>
      <c r="I36" s="574"/>
      <c r="J36" s="574"/>
      <c r="K36" s="574"/>
      <c r="L36" s="574"/>
      <c r="M36" s="574"/>
      <c r="N36" s="440"/>
      <c r="O36" s="101" t="s">
        <v>265</v>
      </c>
      <c r="P36" s="101" t="s">
        <v>266</v>
      </c>
      <c r="Q36" s="173"/>
      <c r="R36"/>
      <c r="S36"/>
      <c r="V36"/>
      <c r="W36"/>
      <c r="X36"/>
      <c r="Y36"/>
      <c r="Z36"/>
      <c r="AA36"/>
      <c r="AB36"/>
      <c r="AC36"/>
    </row>
    <row r="37" spans="1:29" ht="31.5" customHeight="1" x14ac:dyDescent="0.2">
      <c r="A37" s="107" t="s">
        <v>73</v>
      </c>
      <c r="B37" s="93"/>
      <c r="C37" s="103" t="s">
        <v>220</v>
      </c>
      <c r="D37" s="445" t="s">
        <v>544</v>
      </c>
      <c r="E37" s="568"/>
      <c r="F37" s="568"/>
      <c r="G37" s="568"/>
      <c r="H37" s="568"/>
      <c r="I37" s="568"/>
      <c r="J37" s="568"/>
      <c r="K37" s="568"/>
      <c r="L37" s="568"/>
      <c r="M37" s="568"/>
      <c r="N37" s="569"/>
      <c r="O37" s="71"/>
      <c r="P37" s="95" t="str">
        <f>IF(O37="","",IF(O37="Yes","Pass",IF(O37="No","Fail","N/A")))</f>
        <v/>
      </c>
      <c r="Q37" s="173"/>
      <c r="R37"/>
      <c r="S37"/>
      <c r="V37"/>
      <c r="W37"/>
      <c r="X37"/>
      <c r="Y37"/>
      <c r="Z37"/>
      <c r="AA37"/>
      <c r="AB37"/>
      <c r="AC37"/>
    </row>
    <row r="38" spans="1:29" ht="30" customHeight="1" x14ac:dyDescent="0.2">
      <c r="A38" s="107" t="s">
        <v>70</v>
      </c>
      <c r="B38" s="93"/>
      <c r="C38" s="185"/>
      <c r="D38" s="296" t="s">
        <v>351</v>
      </c>
      <c r="E38" s="297"/>
      <c r="F38" s="298"/>
      <c r="G38" s="299"/>
      <c r="I38" s="300" t="s">
        <v>352</v>
      </c>
      <c r="J38" s="299"/>
      <c r="K38" s="301" t="s">
        <v>353</v>
      </c>
      <c r="L38" s="191"/>
      <c r="M38" s="302"/>
      <c r="N38" s="303" t="e">
        <f>J38/G38</f>
        <v>#DIV/0!</v>
      </c>
      <c r="Q38" s="173"/>
      <c r="R38"/>
      <c r="S38"/>
      <c r="V38"/>
      <c r="W38"/>
      <c r="X38"/>
      <c r="Y38"/>
      <c r="Z38"/>
      <c r="AA38"/>
      <c r="AB38"/>
      <c r="AC38"/>
    </row>
    <row r="39" spans="1:29" ht="38.25" customHeight="1" x14ac:dyDescent="0.2">
      <c r="A39" s="107" t="s">
        <v>73</v>
      </c>
      <c r="B39" s="93"/>
      <c r="C39" s="97" t="s">
        <v>133</v>
      </c>
      <c r="D39" s="579" t="s">
        <v>645</v>
      </c>
      <c r="E39" s="572"/>
      <c r="F39" s="572"/>
      <c r="G39" s="572"/>
      <c r="H39" s="572"/>
      <c r="I39" s="572"/>
      <c r="J39" s="572"/>
      <c r="K39" s="572"/>
      <c r="L39" s="572"/>
      <c r="M39" s="572"/>
      <c r="N39" s="572"/>
      <c r="O39" s="71"/>
      <c r="P39" s="95" t="str">
        <f t="shared" ref="P39:P49" si="3">IF(O39="","",IF(O39="Yes","Pass",IF(O39="No","Fail","N/A")))</f>
        <v/>
      </c>
      <c r="Q39" s="173"/>
      <c r="R39"/>
      <c r="S39"/>
      <c r="V39"/>
      <c r="W39"/>
      <c r="X39"/>
      <c r="Y39"/>
      <c r="Z39"/>
      <c r="AA39"/>
      <c r="AB39"/>
      <c r="AC39"/>
    </row>
    <row r="40" spans="1:29" ht="30" customHeight="1" x14ac:dyDescent="0.2">
      <c r="A40" s="107" t="s">
        <v>70</v>
      </c>
      <c r="B40" s="93"/>
      <c r="C40" s="97" t="s">
        <v>221</v>
      </c>
      <c r="D40" s="579" t="s">
        <v>536</v>
      </c>
      <c r="E40" s="470"/>
      <c r="F40" s="470"/>
      <c r="G40" s="470"/>
      <c r="H40" s="470"/>
      <c r="I40" s="470"/>
      <c r="J40" s="470"/>
      <c r="K40" s="470"/>
      <c r="L40" s="470"/>
      <c r="M40" s="470"/>
      <c r="N40" s="470"/>
      <c r="O40" s="71"/>
      <c r="P40" s="95" t="str">
        <f t="shared" si="3"/>
        <v/>
      </c>
      <c r="Q40" s="173"/>
      <c r="R40"/>
      <c r="S40"/>
      <c r="V40"/>
      <c r="W40"/>
      <c r="X40"/>
      <c r="Y40"/>
      <c r="Z40"/>
      <c r="AA40"/>
      <c r="AB40"/>
      <c r="AC40"/>
    </row>
    <row r="41" spans="1:29" ht="41.25" customHeight="1" x14ac:dyDescent="0.2">
      <c r="A41" s="107">
        <v>1</v>
      </c>
      <c r="B41" s="93"/>
      <c r="C41" s="103" t="s">
        <v>222</v>
      </c>
      <c r="D41" s="445" t="s">
        <v>537</v>
      </c>
      <c r="E41" s="568"/>
      <c r="F41" s="568"/>
      <c r="G41" s="568"/>
      <c r="H41" s="568"/>
      <c r="I41" s="568"/>
      <c r="J41" s="568"/>
      <c r="K41" s="568"/>
      <c r="L41" s="568"/>
      <c r="M41" s="568"/>
      <c r="N41" s="569"/>
      <c r="O41" s="71"/>
      <c r="P41" s="95" t="str">
        <f t="shared" si="3"/>
        <v/>
      </c>
      <c r="Q41" s="173"/>
      <c r="R41"/>
      <c r="S41"/>
      <c r="V41"/>
      <c r="W41"/>
      <c r="X41"/>
      <c r="Y41"/>
      <c r="Z41"/>
      <c r="AA41"/>
      <c r="AB41"/>
      <c r="AC41"/>
    </row>
    <row r="42" spans="1:29" ht="34.5" customHeight="1" x14ac:dyDescent="0.2">
      <c r="A42" s="107"/>
      <c r="B42" s="93"/>
      <c r="C42" s="97" t="s">
        <v>223</v>
      </c>
      <c r="D42" s="445" t="s">
        <v>538</v>
      </c>
      <c r="E42" s="568"/>
      <c r="F42" s="568"/>
      <c r="G42" s="568"/>
      <c r="H42" s="568"/>
      <c r="I42" s="568"/>
      <c r="J42" s="568"/>
      <c r="K42" s="568"/>
      <c r="L42" s="568"/>
      <c r="M42" s="568"/>
      <c r="N42" s="569"/>
      <c r="O42" s="71"/>
      <c r="P42" s="95" t="str">
        <f t="shared" si="3"/>
        <v/>
      </c>
      <c r="Q42" s="173"/>
      <c r="R42"/>
      <c r="S42"/>
      <c r="V42"/>
      <c r="W42"/>
      <c r="X42"/>
      <c r="Y42"/>
      <c r="Z42"/>
      <c r="AA42"/>
      <c r="AB42"/>
      <c r="AC42"/>
    </row>
    <row r="43" spans="1:29" ht="33" customHeight="1" x14ac:dyDescent="0.2">
      <c r="A43" s="106">
        <v>1</v>
      </c>
      <c r="B43" s="93"/>
      <c r="C43" s="97" t="s">
        <v>224</v>
      </c>
      <c r="D43" s="445" t="s">
        <v>273</v>
      </c>
      <c r="E43" s="568"/>
      <c r="F43" s="568"/>
      <c r="G43" s="568"/>
      <c r="H43" s="568"/>
      <c r="I43" s="568"/>
      <c r="J43" s="568"/>
      <c r="K43" s="568"/>
      <c r="L43" s="568"/>
      <c r="M43" s="568"/>
      <c r="N43" s="569"/>
      <c r="O43" s="71"/>
      <c r="P43" s="95" t="str">
        <f t="shared" si="3"/>
        <v/>
      </c>
      <c r="Q43" s="173"/>
      <c r="R43"/>
      <c r="S43"/>
      <c r="V43"/>
      <c r="W43"/>
      <c r="X43"/>
      <c r="Y43"/>
      <c r="Z43"/>
      <c r="AA43"/>
      <c r="AB43"/>
      <c r="AC43"/>
    </row>
    <row r="44" spans="1:29" ht="35.25" customHeight="1" x14ac:dyDescent="0.2">
      <c r="A44" s="107" t="s">
        <v>73</v>
      </c>
      <c r="C44" s="103" t="s">
        <v>225</v>
      </c>
      <c r="D44" s="567" t="s">
        <v>274</v>
      </c>
      <c r="E44" s="470"/>
      <c r="F44" s="470"/>
      <c r="G44" s="470"/>
      <c r="H44" s="470"/>
      <c r="I44" s="470"/>
      <c r="J44" s="470"/>
      <c r="K44" s="470"/>
      <c r="L44" s="470"/>
      <c r="M44" s="470"/>
      <c r="N44" s="470"/>
      <c r="O44" s="71"/>
      <c r="P44" s="95" t="str">
        <f t="shared" si="3"/>
        <v/>
      </c>
      <c r="Q44" s="173"/>
      <c r="R44"/>
      <c r="S44"/>
      <c r="V44"/>
      <c r="W44"/>
      <c r="X44"/>
      <c r="Y44"/>
      <c r="Z44"/>
      <c r="AA44"/>
      <c r="AB44"/>
      <c r="AC44"/>
    </row>
    <row r="45" spans="1:29" ht="35.25" customHeight="1" x14ac:dyDescent="0.2">
      <c r="B45" s="93"/>
      <c r="C45" s="97" t="s">
        <v>226</v>
      </c>
      <c r="D45" s="445" t="s">
        <v>275</v>
      </c>
      <c r="E45" s="568"/>
      <c r="F45" s="568"/>
      <c r="G45" s="568"/>
      <c r="H45" s="568"/>
      <c r="I45" s="568"/>
      <c r="J45" s="568"/>
      <c r="K45" s="568"/>
      <c r="L45" s="568"/>
      <c r="M45" s="568"/>
      <c r="N45" s="569"/>
      <c r="O45" s="71"/>
      <c r="P45" s="95" t="str">
        <f t="shared" si="3"/>
        <v/>
      </c>
      <c r="Q45" s="173"/>
      <c r="R45"/>
      <c r="S45"/>
      <c r="V45"/>
      <c r="W45"/>
      <c r="X45"/>
      <c r="Y45"/>
      <c r="Z45"/>
      <c r="AA45"/>
      <c r="AB45"/>
      <c r="AC45"/>
    </row>
    <row r="46" spans="1:29" ht="18" customHeight="1" x14ac:dyDescent="0.2">
      <c r="C46" s="97" t="s">
        <v>227</v>
      </c>
      <c r="D46" s="445" t="s">
        <v>276</v>
      </c>
      <c r="E46" s="570"/>
      <c r="F46" s="570"/>
      <c r="G46" s="570"/>
      <c r="H46" s="570"/>
      <c r="I46" s="570"/>
      <c r="J46" s="570"/>
      <c r="K46" s="570"/>
      <c r="L46" s="570"/>
      <c r="M46" s="570"/>
      <c r="N46" s="570"/>
      <c r="O46" s="71"/>
      <c r="P46" s="95" t="str">
        <f t="shared" si="3"/>
        <v/>
      </c>
      <c r="Q46" s="173"/>
      <c r="R46"/>
      <c r="S46"/>
      <c r="V46"/>
      <c r="W46"/>
      <c r="X46"/>
      <c r="Y46"/>
      <c r="Z46"/>
      <c r="AA46"/>
      <c r="AB46"/>
      <c r="AC46"/>
    </row>
    <row r="47" spans="1:29" ht="35.25" customHeight="1" x14ac:dyDescent="0.2">
      <c r="A47" s="106">
        <v>1</v>
      </c>
      <c r="C47" s="103" t="s">
        <v>228</v>
      </c>
      <c r="D47" s="445" t="s">
        <v>277</v>
      </c>
      <c r="E47" s="568"/>
      <c r="F47" s="568"/>
      <c r="G47" s="568"/>
      <c r="H47" s="568"/>
      <c r="I47" s="568"/>
      <c r="J47" s="568"/>
      <c r="K47" s="568"/>
      <c r="L47" s="568"/>
      <c r="M47" s="568"/>
      <c r="N47" s="569"/>
      <c r="O47" s="71"/>
      <c r="P47" s="95" t="str">
        <f t="shared" si="3"/>
        <v/>
      </c>
      <c r="R47"/>
      <c r="S47"/>
      <c r="V47"/>
      <c r="W47"/>
      <c r="X47"/>
      <c r="Y47"/>
      <c r="Z47"/>
      <c r="AA47"/>
      <c r="AB47"/>
      <c r="AC47"/>
    </row>
    <row r="48" spans="1:29" ht="57.75" customHeight="1" x14ac:dyDescent="0.2">
      <c r="A48" s="107" t="s">
        <v>69</v>
      </c>
      <c r="C48" s="97" t="s">
        <v>229</v>
      </c>
      <c r="D48" s="565" t="s">
        <v>539</v>
      </c>
      <c r="E48" s="566"/>
      <c r="F48" s="566"/>
      <c r="G48" s="566"/>
      <c r="H48" s="566"/>
      <c r="I48" s="566"/>
      <c r="J48" s="566"/>
      <c r="K48" s="566"/>
      <c r="L48" s="566"/>
      <c r="M48" s="566"/>
      <c r="N48" s="566"/>
      <c r="O48" s="71"/>
      <c r="P48" s="95" t="str">
        <f t="shared" si="3"/>
        <v/>
      </c>
      <c r="Q48" s="171"/>
      <c r="R48"/>
      <c r="S48"/>
      <c r="V48"/>
      <c r="W48"/>
      <c r="X48"/>
      <c r="Y48"/>
      <c r="Z48"/>
      <c r="AA48"/>
      <c r="AB48"/>
      <c r="AC48"/>
    </row>
    <row r="49" spans="1:29" ht="39" customHeight="1" x14ac:dyDescent="0.2">
      <c r="A49" s="106">
        <v>1</v>
      </c>
      <c r="B49" s="93"/>
      <c r="C49" s="97" t="s">
        <v>230</v>
      </c>
      <c r="D49" s="567" t="s">
        <v>540</v>
      </c>
      <c r="E49" s="470"/>
      <c r="F49" s="470"/>
      <c r="G49" s="470"/>
      <c r="H49" s="470"/>
      <c r="I49" s="470"/>
      <c r="J49" s="470"/>
      <c r="K49" s="470"/>
      <c r="L49" s="470"/>
      <c r="M49" s="470"/>
      <c r="N49" s="471"/>
      <c r="O49" s="71"/>
      <c r="P49" s="95" t="str">
        <f t="shared" si="3"/>
        <v/>
      </c>
      <c r="Q49" s="123"/>
      <c r="R49"/>
      <c r="S49"/>
      <c r="V49"/>
      <c r="W49"/>
      <c r="X49"/>
      <c r="Y49"/>
      <c r="Z49"/>
      <c r="AA49"/>
      <c r="AB49"/>
      <c r="AC49"/>
    </row>
    <row r="50" spans="1:29" ht="19.5" customHeight="1" x14ac:dyDescent="0.2">
      <c r="A50" s="107" t="s">
        <v>73</v>
      </c>
      <c r="C50" s="580" t="s">
        <v>278</v>
      </c>
      <c r="D50" s="470"/>
      <c r="E50" s="470"/>
      <c r="F50" s="470"/>
      <c r="G50" s="470"/>
      <c r="H50" s="470"/>
      <c r="I50" s="470"/>
      <c r="J50" s="470"/>
      <c r="K50" s="470"/>
      <c r="L50" s="470"/>
      <c r="M50" s="470"/>
      <c r="N50" s="470"/>
      <c r="O50" s="347"/>
      <c r="P50" s="344"/>
      <c r="Q50" s="99"/>
      <c r="R50"/>
      <c r="S50"/>
      <c r="V50"/>
      <c r="W50"/>
      <c r="X50"/>
      <c r="Y50"/>
      <c r="Z50"/>
      <c r="AA50"/>
      <c r="AB50"/>
      <c r="AC50"/>
    </row>
    <row r="51" spans="1:29" ht="25.5" customHeight="1" x14ac:dyDescent="0.2">
      <c r="A51" s="107" t="s">
        <v>69</v>
      </c>
      <c r="B51" s="93"/>
      <c r="C51" s="581" t="s">
        <v>17</v>
      </c>
      <c r="D51" s="470"/>
      <c r="E51" s="470"/>
      <c r="F51" s="470"/>
      <c r="G51" s="470"/>
      <c r="H51" s="470"/>
      <c r="I51" s="470"/>
      <c r="J51" s="470"/>
      <c r="K51" s="470"/>
      <c r="L51" s="470"/>
      <c r="M51" s="470"/>
      <c r="N51" s="470"/>
      <c r="O51" s="345"/>
      <c r="Q51" s="359"/>
      <c r="R51"/>
      <c r="S51"/>
      <c r="V51"/>
      <c r="W51"/>
      <c r="X51"/>
      <c r="Y51"/>
      <c r="Z51"/>
      <c r="AA51"/>
      <c r="AB51"/>
      <c r="AC51"/>
    </row>
    <row r="52" spans="1:29" ht="21.75" customHeight="1" x14ac:dyDescent="0.25">
      <c r="A52" s="106">
        <v>1</v>
      </c>
      <c r="B52" s="93"/>
      <c r="C52" s="100" t="s">
        <v>264</v>
      </c>
      <c r="D52" s="576" t="s">
        <v>74</v>
      </c>
      <c r="E52" s="577"/>
      <c r="F52" s="577"/>
      <c r="G52" s="577"/>
      <c r="H52" s="577"/>
      <c r="I52" s="577"/>
      <c r="J52" s="577"/>
      <c r="K52" s="577"/>
      <c r="L52" s="577"/>
      <c r="M52" s="577"/>
      <c r="N52" s="578"/>
      <c r="O52" s="101" t="s">
        <v>265</v>
      </c>
      <c r="P52" s="101" t="s">
        <v>266</v>
      </c>
      <c r="Q52" s="173"/>
      <c r="R52"/>
      <c r="S52"/>
      <c r="V52"/>
      <c r="W52"/>
      <c r="X52"/>
      <c r="Y52"/>
      <c r="Z52"/>
      <c r="AA52"/>
      <c r="AB52"/>
      <c r="AC52"/>
    </row>
    <row r="53" spans="1:29" ht="34.5" customHeight="1" x14ac:dyDescent="0.2">
      <c r="A53" s="106">
        <v>1</v>
      </c>
      <c r="C53" s="94" t="s">
        <v>232</v>
      </c>
      <c r="D53" s="601" t="s">
        <v>279</v>
      </c>
      <c r="E53" s="595"/>
      <c r="F53" s="595"/>
      <c r="G53" s="595"/>
      <c r="H53" s="595"/>
      <c r="I53" s="595"/>
      <c r="J53" s="595"/>
      <c r="K53" s="595"/>
      <c r="L53" s="595"/>
      <c r="M53" s="595"/>
      <c r="N53" s="595"/>
      <c r="O53" s="71"/>
      <c r="P53" s="95" t="str">
        <f t="shared" ref="P53:P60" si="4">IF(O53="","",IF(O53="Yes","Pass",IF(O53="No","Fail","N/A")))</f>
        <v/>
      </c>
      <c r="Q53" s="173"/>
      <c r="R53"/>
      <c r="S53"/>
      <c r="V53"/>
      <c r="W53"/>
      <c r="X53"/>
      <c r="Y53"/>
      <c r="Z53"/>
      <c r="AA53"/>
      <c r="AB53"/>
      <c r="AC53"/>
    </row>
    <row r="54" spans="1:29" ht="60.75" customHeight="1" x14ac:dyDescent="0.2">
      <c r="A54" s="106">
        <v>1</v>
      </c>
      <c r="C54" s="94" t="s">
        <v>233</v>
      </c>
      <c r="D54" s="601" t="s">
        <v>457</v>
      </c>
      <c r="E54" s="605"/>
      <c r="F54" s="605"/>
      <c r="G54" s="605"/>
      <c r="H54" s="605"/>
      <c r="I54" s="605"/>
      <c r="J54" s="605"/>
      <c r="K54" s="605"/>
      <c r="L54" s="605"/>
      <c r="M54" s="605"/>
      <c r="N54" s="606"/>
      <c r="O54" s="71"/>
      <c r="P54" s="95" t="str">
        <f t="shared" si="4"/>
        <v/>
      </c>
      <c r="Q54" s="173"/>
      <c r="R54"/>
      <c r="S54"/>
      <c r="V54"/>
      <c r="W54"/>
      <c r="X54"/>
      <c r="Y54"/>
      <c r="Z54"/>
      <c r="AA54"/>
      <c r="AB54"/>
      <c r="AC54"/>
    </row>
    <row r="55" spans="1:29" ht="38.25" customHeight="1" x14ac:dyDescent="0.2">
      <c r="A55" s="106">
        <v>1</v>
      </c>
      <c r="B55" s="107" t="s">
        <v>70</v>
      </c>
      <c r="C55" s="94" t="s">
        <v>458</v>
      </c>
      <c r="D55" s="602" t="s">
        <v>454</v>
      </c>
      <c r="E55" s="603"/>
      <c r="F55" s="603"/>
      <c r="G55" s="603"/>
      <c r="H55" s="603"/>
      <c r="I55" s="603"/>
      <c r="J55" s="603"/>
      <c r="K55" s="603"/>
      <c r="L55" s="603"/>
      <c r="M55" s="603"/>
      <c r="N55" s="604"/>
      <c r="O55" s="71"/>
      <c r="P55" s="95" t="str">
        <f t="shared" si="4"/>
        <v/>
      </c>
      <c r="Q55" s="173"/>
      <c r="R55"/>
      <c r="S55"/>
      <c r="V55"/>
      <c r="W55"/>
      <c r="X55"/>
      <c r="Y55"/>
      <c r="Z55"/>
      <c r="AA55"/>
      <c r="AB55"/>
      <c r="AC55"/>
    </row>
    <row r="56" spans="1:29" ht="68.25" customHeight="1" x14ac:dyDescent="0.2">
      <c r="A56" s="107" t="s">
        <v>73</v>
      </c>
      <c r="C56" s="94" t="s">
        <v>234</v>
      </c>
      <c r="D56" s="594" t="s">
        <v>541</v>
      </c>
      <c r="E56" s="595"/>
      <c r="F56" s="595"/>
      <c r="G56" s="595"/>
      <c r="H56" s="595"/>
      <c r="I56" s="595"/>
      <c r="J56" s="595"/>
      <c r="K56" s="595"/>
      <c r="L56" s="595"/>
      <c r="M56" s="595"/>
      <c r="N56" s="596"/>
      <c r="O56" s="71"/>
      <c r="P56" s="95" t="str">
        <f t="shared" si="4"/>
        <v/>
      </c>
      <c r="Q56" s="173"/>
      <c r="R56"/>
      <c r="S56"/>
      <c r="V56"/>
      <c r="W56"/>
      <c r="X56"/>
      <c r="Y56"/>
      <c r="Z56"/>
      <c r="AA56"/>
      <c r="AB56"/>
      <c r="AC56"/>
    </row>
    <row r="57" spans="1:29" ht="31.5" customHeight="1" x14ac:dyDescent="0.2">
      <c r="B57" s="93"/>
      <c r="C57" s="94" t="s">
        <v>235</v>
      </c>
      <c r="D57" s="602" t="s">
        <v>459</v>
      </c>
      <c r="E57" s="603"/>
      <c r="F57" s="603"/>
      <c r="G57" s="603"/>
      <c r="H57" s="603"/>
      <c r="I57" s="603"/>
      <c r="J57" s="603"/>
      <c r="K57" s="603"/>
      <c r="L57" s="603"/>
      <c r="M57" s="603"/>
      <c r="N57" s="604"/>
      <c r="O57" s="71"/>
      <c r="P57" s="95" t="str">
        <f t="shared" si="4"/>
        <v/>
      </c>
      <c r="Q57" s="173"/>
      <c r="R57"/>
      <c r="S57"/>
      <c r="V57"/>
      <c r="W57"/>
      <c r="X57"/>
      <c r="Y57"/>
      <c r="Z57"/>
      <c r="AA57"/>
      <c r="AB57"/>
      <c r="AC57"/>
    </row>
    <row r="58" spans="1:29" ht="40.5" customHeight="1" x14ac:dyDescent="0.2">
      <c r="C58" s="104" t="s">
        <v>460</v>
      </c>
      <c r="D58" s="597" t="s">
        <v>455</v>
      </c>
      <c r="E58" s="595"/>
      <c r="F58" s="595"/>
      <c r="G58" s="595"/>
      <c r="H58" s="595"/>
      <c r="I58" s="595"/>
      <c r="J58" s="595"/>
      <c r="K58" s="595"/>
      <c r="L58" s="595"/>
      <c r="M58" s="595"/>
      <c r="N58" s="596"/>
      <c r="O58" s="71"/>
      <c r="P58" s="95" t="str">
        <f t="shared" si="4"/>
        <v/>
      </c>
      <c r="Q58" s="173"/>
      <c r="R58"/>
      <c r="S58"/>
      <c r="V58"/>
      <c r="W58"/>
      <c r="X58"/>
      <c r="Y58"/>
      <c r="Z58"/>
      <c r="AA58"/>
      <c r="AB58"/>
      <c r="AC58"/>
    </row>
    <row r="59" spans="1:29" ht="30" customHeight="1" x14ac:dyDescent="0.2">
      <c r="A59" s="107" t="s">
        <v>70</v>
      </c>
      <c r="C59" s="104" t="s">
        <v>236</v>
      </c>
      <c r="D59" s="598" t="s">
        <v>456</v>
      </c>
      <c r="E59" s="599"/>
      <c r="F59" s="599"/>
      <c r="G59" s="599"/>
      <c r="H59" s="599"/>
      <c r="I59" s="599"/>
      <c r="J59" s="599"/>
      <c r="K59" s="599"/>
      <c r="L59" s="599"/>
      <c r="M59" s="599"/>
      <c r="N59" s="600"/>
      <c r="O59" s="71"/>
      <c r="P59" s="95" t="str">
        <f t="shared" si="4"/>
        <v/>
      </c>
      <c r="Q59" s="173"/>
      <c r="R59"/>
      <c r="S59"/>
      <c r="V59"/>
      <c r="W59"/>
      <c r="X59"/>
      <c r="Y59"/>
      <c r="Z59"/>
      <c r="AA59"/>
      <c r="AB59"/>
      <c r="AC59"/>
    </row>
    <row r="60" spans="1:29" ht="30" customHeight="1" x14ac:dyDescent="0.2">
      <c r="A60" s="107" t="s">
        <v>70</v>
      </c>
      <c r="B60" s="93"/>
      <c r="C60" s="104" t="s">
        <v>237</v>
      </c>
      <c r="D60" s="598" t="s">
        <v>280</v>
      </c>
      <c r="E60" s="599"/>
      <c r="F60" s="599"/>
      <c r="G60" s="599"/>
      <c r="H60" s="599"/>
      <c r="I60" s="599"/>
      <c r="J60" s="599"/>
      <c r="K60" s="599"/>
      <c r="L60" s="599"/>
      <c r="M60" s="599"/>
      <c r="N60" s="600"/>
      <c r="O60" s="71"/>
      <c r="P60" s="95" t="str">
        <f t="shared" si="4"/>
        <v/>
      </c>
      <c r="Q60" s="171"/>
      <c r="R60"/>
      <c r="S60"/>
      <c r="V60"/>
      <c r="W60"/>
      <c r="X60"/>
      <c r="Y60"/>
      <c r="Z60"/>
      <c r="AA60"/>
      <c r="AB60"/>
      <c r="AC60"/>
    </row>
    <row r="61" spans="1:29" ht="22.5" customHeight="1" x14ac:dyDescent="0.2">
      <c r="A61" s="107" t="s">
        <v>69</v>
      </c>
      <c r="B61" s="107" t="s">
        <v>69</v>
      </c>
      <c r="C61" s="580" t="s">
        <v>281</v>
      </c>
      <c r="D61" s="470"/>
      <c r="E61" s="470"/>
      <c r="F61" s="470"/>
      <c r="G61" s="470"/>
      <c r="H61" s="470"/>
      <c r="I61" s="470"/>
      <c r="J61" s="470"/>
      <c r="K61" s="470"/>
      <c r="L61" s="470"/>
      <c r="M61" s="470"/>
      <c r="N61" s="470"/>
      <c r="O61" s="347"/>
      <c r="P61" s="345"/>
      <c r="Q61" s="172"/>
      <c r="R61"/>
      <c r="S61"/>
      <c r="V61"/>
      <c r="W61"/>
      <c r="X61"/>
      <c r="Y61"/>
      <c r="Z61"/>
      <c r="AA61"/>
      <c r="AB61"/>
      <c r="AC61"/>
    </row>
    <row r="62" spans="1:29" ht="28.5" customHeight="1" x14ac:dyDescent="0.2">
      <c r="A62" s="107"/>
      <c r="B62" s="147"/>
      <c r="C62" s="581" t="s">
        <v>17</v>
      </c>
      <c r="D62" s="470"/>
      <c r="E62" s="470"/>
      <c r="F62" s="470"/>
      <c r="G62" s="470"/>
      <c r="H62" s="470"/>
      <c r="I62" s="470"/>
      <c r="J62" s="470"/>
      <c r="K62" s="470"/>
      <c r="L62" s="470"/>
      <c r="M62" s="470"/>
      <c r="N62" s="470"/>
      <c r="O62" s="345"/>
      <c r="Q62" s="171"/>
      <c r="R62"/>
      <c r="S62"/>
      <c r="V62"/>
      <c r="W62"/>
      <c r="X62"/>
      <c r="Y62"/>
      <c r="Z62"/>
      <c r="AA62"/>
      <c r="AB62"/>
      <c r="AC62"/>
    </row>
    <row r="63" spans="1:29" ht="30" customHeight="1" x14ac:dyDescent="0.25">
      <c r="A63" s="107" t="s">
        <v>70</v>
      </c>
      <c r="B63" s="93"/>
      <c r="C63" s="100" t="s">
        <v>264</v>
      </c>
      <c r="D63" s="573" t="s">
        <v>75</v>
      </c>
      <c r="E63" s="574"/>
      <c r="F63" s="574"/>
      <c r="G63" s="574"/>
      <c r="H63" s="574"/>
      <c r="I63" s="574"/>
      <c r="J63" s="574"/>
      <c r="K63" s="574"/>
      <c r="L63" s="574"/>
      <c r="M63" s="574"/>
      <c r="N63" s="440"/>
      <c r="O63" s="101" t="s">
        <v>265</v>
      </c>
      <c r="P63" s="101" t="s">
        <v>266</v>
      </c>
      <c r="Q63" s="359"/>
      <c r="R63"/>
      <c r="S63"/>
      <c r="V63"/>
      <c r="W63"/>
      <c r="X63"/>
      <c r="Y63"/>
      <c r="Z63"/>
      <c r="AA63"/>
      <c r="AB63"/>
      <c r="AC63"/>
    </row>
    <row r="64" spans="1:29" ht="30" customHeight="1" x14ac:dyDescent="0.2">
      <c r="A64" s="107" t="s">
        <v>70</v>
      </c>
      <c r="B64" s="93"/>
      <c r="C64" s="94" t="s">
        <v>239</v>
      </c>
      <c r="D64" s="567" t="s">
        <v>461</v>
      </c>
      <c r="E64" s="470"/>
      <c r="F64" s="470"/>
      <c r="G64" s="470"/>
      <c r="H64" s="470"/>
      <c r="I64" s="470"/>
      <c r="J64" s="470"/>
      <c r="K64" s="470"/>
      <c r="L64" s="470"/>
      <c r="M64" s="470"/>
      <c r="N64" s="471"/>
      <c r="O64" s="71"/>
      <c r="P64" s="95" t="str">
        <f t="shared" ref="P64:P69" si="5">IF(O64="","",IF(O64="Yes","Pass",IF(O64="No","Fail","N/A")))</f>
        <v/>
      </c>
      <c r="Q64" s="173"/>
      <c r="R64"/>
      <c r="S64"/>
      <c r="V64"/>
      <c r="W64"/>
      <c r="X64"/>
      <c r="Y64"/>
      <c r="Z64"/>
      <c r="AA64"/>
      <c r="AB64"/>
      <c r="AC64"/>
    </row>
    <row r="65" spans="1:29" ht="33.75" customHeight="1" x14ac:dyDescent="0.2">
      <c r="A65" s="107" t="s">
        <v>76</v>
      </c>
      <c r="B65" s="93"/>
      <c r="C65" s="94" t="s">
        <v>240</v>
      </c>
      <c r="D65" s="567" t="s">
        <v>282</v>
      </c>
      <c r="E65" s="470"/>
      <c r="F65" s="470"/>
      <c r="G65" s="470"/>
      <c r="H65" s="470"/>
      <c r="I65" s="470"/>
      <c r="J65" s="470"/>
      <c r="K65" s="470"/>
      <c r="L65" s="470"/>
      <c r="M65" s="470"/>
      <c r="N65" s="471"/>
      <c r="O65" s="71"/>
      <c r="P65" s="95" t="str">
        <f t="shared" si="5"/>
        <v/>
      </c>
      <c r="Q65" s="173"/>
      <c r="R65"/>
      <c r="S65"/>
      <c r="V65"/>
      <c r="W65"/>
      <c r="X65"/>
      <c r="Y65"/>
      <c r="Z65"/>
      <c r="AA65"/>
      <c r="AB65"/>
      <c r="AC65"/>
    </row>
    <row r="66" spans="1:29" ht="49.5" customHeight="1" x14ac:dyDescent="0.2">
      <c r="A66" s="106">
        <v>1</v>
      </c>
      <c r="B66" s="93"/>
      <c r="C66" s="94" t="s">
        <v>241</v>
      </c>
      <c r="D66" s="567" t="s">
        <v>462</v>
      </c>
      <c r="E66" s="470"/>
      <c r="F66" s="470"/>
      <c r="G66" s="470"/>
      <c r="H66" s="470"/>
      <c r="I66" s="470"/>
      <c r="J66" s="470"/>
      <c r="K66" s="470"/>
      <c r="L66" s="470"/>
      <c r="M66" s="470"/>
      <c r="N66" s="471"/>
      <c r="O66" s="71"/>
      <c r="P66" s="95" t="str">
        <f t="shared" si="5"/>
        <v/>
      </c>
      <c r="Q66" s="173"/>
      <c r="R66"/>
      <c r="S66"/>
      <c r="V66"/>
      <c r="W66"/>
      <c r="X66"/>
      <c r="Y66"/>
      <c r="Z66"/>
      <c r="AA66"/>
      <c r="AB66"/>
      <c r="AC66"/>
    </row>
    <row r="67" spans="1:29" ht="35.25" customHeight="1" x14ac:dyDescent="0.2">
      <c r="A67" s="107" t="s">
        <v>73</v>
      </c>
      <c r="C67" s="148" t="s">
        <v>542</v>
      </c>
      <c r="D67" s="593" t="s">
        <v>464</v>
      </c>
      <c r="E67" s="470"/>
      <c r="F67" s="470"/>
      <c r="G67" s="470"/>
      <c r="H67" s="470"/>
      <c r="I67" s="470"/>
      <c r="J67" s="470"/>
      <c r="K67" s="470"/>
      <c r="L67" s="470"/>
      <c r="M67" s="470"/>
      <c r="N67" s="470"/>
      <c r="O67" s="71"/>
      <c r="P67" s="95" t="str">
        <f t="shared" si="5"/>
        <v/>
      </c>
      <c r="Q67" s="173"/>
      <c r="R67"/>
      <c r="S67"/>
      <c r="V67"/>
      <c r="W67"/>
      <c r="X67"/>
      <c r="Y67"/>
      <c r="Z67"/>
      <c r="AA67"/>
      <c r="AB67"/>
      <c r="AC67"/>
    </row>
    <row r="68" spans="1:29" ht="36" customHeight="1" x14ac:dyDescent="0.2">
      <c r="B68" s="93"/>
      <c r="C68" s="94" t="s">
        <v>242</v>
      </c>
      <c r="D68" s="469" t="s">
        <v>546</v>
      </c>
      <c r="E68" s="470"/>
      <c r="F68" s="470"/>
      <c r="G68" s="470"/>
      <c r="H68" s="470"/>
      <c r="I68" s="470"/>
      <c r="J68" s="470"/>
      <c r="K68" s="470"/>
      <c r="L68" s="470"/>
      <c r="M68" s="470"/>
      <c r="N68" s="471"/>
      <c r="O68" s="71"/>
      <c r="P68" s="95" t="str">
        <f t="shared" si="5"/>
        <v/>
      </c>
      <c r="Q68" s="173"/>
      <c r="R68"/>
      <c r="S68"/>
      <c r="V68"/>
      <c r="W68"/>
      <c r="X68"/>
      <c r="Y68"/>
      <c r="Z68"/>
      <c r="AA68"/>
      <c r="AB68"/>
      <c r="AC68"/>
    </row>
    <row r="69" spans="1:29" ht="52.5" customHeight="1" x14ac:dyDescent="0.2">
      <c r="C69" s="94" t="s">
        <v>243</v>
      </c>
      <c r="D69" s="469" t="s">
        <v>547</v>
      </c>
      <c r="E69" s="470"/>
      <c r="F69" s="470"/>
      <c r="G69" s="470"/>
      <c r="H69" s="470"/>
      <c r="I69" s="470"/>
      <c r="J69" s="470"/>
      <c r="K69" s="470"/>
      <c r="L69" s="470"/>
      <c r="M69" s="470"/>
      <c r="N69" s="471"/>
      <c r="O69" s="71"/>
      <c r="P69" s="95" t="str">
        <f t="shared" si="5"/>
        <v/>
      </c>
      <c r="Q69" s="173"/>
      <c r="R69"/>
      <c r="S69"/>
      <c r="V69"/>
      <c r="W69"/>
      <c r="X69"/>
      <c r="Y69"/>
      <c r="Z69"/>
      <c r="AA69"/>
      <c r="AB69"/>
      <c r="AC69"/>
    </row>
    <row r="70" spans="1:29" ht="21" customHeight="1" x14ac:dyDescent="0.25">
      <c r="A70" s="107" t="s">
        <v>70</v>
      </c>
      <c r="C70" s="608" t="s">
        <v>283</v>
      </c>
      <c r="D70" s="486"/>
      <c r="E70" s="486"/>
      <c r="F70" s="486"/>
      <c r="G70" s="486"/>
      <c r="H70" s="486"/>
      <c r="I70" s="486"/>
      <c r="J70" s="486"/>
      <c r="K70" s="486"/>
      <c r="L70" s="486"/>
      <c r="M70" s="486"/>
      <c r="N70" s="486"/>
      <c r="O70" s="348"/>
      <c r="P70" s="342"/>
      <c r="Q70" s="173"/>
      <c r="R70"/>
      <c r="S70"/>
      <c r="V70"/>
      <c r="W70"/>
      <c r="X70"/>
      <c r="Y70"/>
      <c r="Z70"/>
      <c r="AA70"/>
      <c r="AB70"/>
      <c r="AC70"/>
    </row>
    <row r="71" spans="1:29" ht="29.25" customHeight="1" x14ac:dyDescent="0.25">
      <c r="A71" s="107" t="s">
        <v>285</v>
      </c>
      <c r="B71" s="93"/>
      <c r="C71" s="581" t="s">
        <v>17</v>
      </c>
      <c r="D71" s="470"/>
      <c r="E71" s="470"/>
      <c r="F71" s="470"/>
      <c r="G71" s="470"/>
      <c r="H71" s="470"/>
      <c r="I71" s="470"/>
      <c r="J71" s="470"/>
      <c r="K71" s="470"/>
      <c r="L71" s="470"/>
      <c r="M71" s="470"/>
      <c r="N71" s="470"/>
      <c r="O71" s="345"/>
      <c r="Q71" s="352"/>
      <c r="R71"/>
      <c r="S71"/>
      <c r="V71"/>
      <c r="W71"/>
      <c r="X71"/>
      <c r="Y71"/>
      <c r="Z71"/>
      <c r="AA71"/>
      <c r="AB71"/>
      <c r="AC71"/>
    </row>
    <row r="72" spans="1:29" ht="21.75" customHeight="1" x14ac:dyDescent="0.25">
      <c r="A72" s="107" t="s">
        <v>76</v>
      </c>
      <c r="B72" s="107" t="s">
        <v>286</v>
      </c>
      <c r="C72" s="100" t="s">
        <v>264</v>
      </c>
      <c r="D72" s="573" t="s">
        <v>77</v>
      </c>
      <c r="E72" s="574"/>
      <c r="F72" s="574"/>
      <c r="G72" s="574"/>
      <c r="H72" s="574"/>
      <c r="I72" s="574"/>
      <c r="J72" s="574"/>
      <c r="K72" s="574"/>
      <c r="L72" s="574"/>
      <c r="M72" s="574"/>
      <c r="N72" s="574"/>
      <c r="O72" s="101" t="s">
        <v>265</v>
      </c>
      <c r="P72" s="101" t="s">
        <v>266</v>
      </c>
      <c r="Q72" s="172"/>
      <c r="R72"/>
      <c r="S72"/>
      <c r="V72"/>
      <c r="W72"/>
      <c r="X72"/>
      <c r="Y72"/>
      <c r="Z72"/>
      <c r="AA72"/>
      <c r="AB72"/>
      <c r="AC72"/>
    </row>
    <row r="73" spans="1:29" ht="36" customHeight="1" x14ac:dyDescent="0.2">
      <c r="A73" s="107" t="s">
        <v>287</v>
      </c>
      <c r="B73" s="107" t="s">
        <v>80</v>
      </c>
      <c r="C73" s="102" t="s">
        <v>245</v>
      </c>
      <c r="D73" s="607" t="s">
        <v>284</v>
      </c>
      <c r="E73" s="470"/>
      <c r="F73" s="470"/>
      <c r="G73" s="470"/>
      <c r="H73" s="470"/>
      <c r="I73" s="470"/>
      <c r="J73" s="470"/>
      <c r="K73" s="470"/>
      <c r="L73" s="470"/>
      <c r="M73" s="470"/>
      <c r="N73" s="470"/>
      <c r="O73" s="71"/>
      <c r="P73" s="95" t="str">
        <f>IF(O73="","",IF(O73="Yes","Fail",IF(O73="No","Pass","N/A")))</f>
        <v/>
      </c>
      <c r="R73"/>
      <c r="S73"/>
      <c r="V73"/>
      <c r="W73"/>
      <c r="X73"/>
      <c r="Y73"/>
      <c r="Z73"/>
      <c r="AA73"/>
      <c r="AB73"/>
      <c r="AC73"/>
    </row>
    <row r="74" spans="1:29" ht="189" customHeight="1" x14ac:dyDescent="0.2">
      <c r="A74" s="107" t="s">
        <v>288</v>
      </c>
      <c r="B74" s="93"/>
      <c r="C74" s="102" t="s">
        <v>246</v>
      </c>
      <c r="D74" s="609" t="s">
        <v>552</v>
      </c>
      <c r="E74" s="470"/>
      <c r="F74" s="470"/>
      <c r="G74" s="470"/>
      <c r="H74" s="470"/>
      <c r="I74" s="470"/>
      <c r="J74" s="470"/>
      <c r="K74" s="470"/>
      <c r="L74" s="470"/>
      <c r="M74" s="470"/>
      <c r="N74" s="470"/>
      <c r="O74" s="71"/>
      <c r="P74" s="95" t="str">
        <f>IF(O74="","",IF(O74="Yes","Fail",IF(O74="No","Pass","N/A")))</f>
        <v/>
      </c>
      <c r="Q74" s="359"/>
      <c r="R74"/>
      <c r="S74"/>
      <c r="V74"/>
      <c r="W74"/>
      <c r="X74"/>
      <c r="Y74"/>
      <c r="Z74"/>
      <c r="AA74"/>
      <c r="AB74"/>
      <c r="AC74"/>
    </row>
    <row r="75" spans="1:29" ht="94.5" customHeight="1" x14ac:dyDescent="0.2">
      <c r="A75" s="107" t="s">
        <v>81</v>
      </c>
      <c r="B75" s="93"/>
      <c r="C75" s="102" t="s">
        <v>247</v>
      </c>
      <c r="D75" s="609" t="s">
        <v>551</v>
      </c>
      <c r="E75" s="470"/>
      <c r="F75" s="470"/>
      <c r="G75" s="470"/>
      <c r="H75" s="470"/>
      <c r="I75" s="470"/>
      <c r="J75" s="470"/>
      <c r="K75" s="470"/>
      <c r="L75" s="470"/>
      <c r="M75" s="470"/>
      <c r="N75" s="470"/>
      <c r="O75" s="71"/>
      <c r="P75" s="95" t="str">
        <f t="shared" ref="P75:P82" si="6">IF(O75="","",IF(O75="Yes","Pass",IF(O75="No","Fail","N/A")))</f>
        <v/>
      </c>
      <c r="Q75" s="173"/>
      <c r="R75"/>
      <c r="S75"/>
      <c r="V75"/>
      <c r="W75"/>
      <c r="X75"/>
      <c r="Y75"/>
      <c r="Z75"/>
      <c r="AA75"/>
      <c r="AB75"/>
      <c r="AC75"/>
    </row>
    <row r="76" spans="1:29" ht="126" customHeight="1" x14ac:dyDescent="0.2">
      <c r="A76" s="107" t="s">
        <v>69</v>
      </c>
      <c r="B76" s="93"/>
      <c r="C76" s="102" t="s">
        <v>248</v>
      </c>
      <c r="D76" s="579" t="s">
        <v>550</v>
      </c>
      <c r="E76" s="572"/>
      <c r="F76" s="572"/>
      <c r="G76" s="572"/>
      <c r="H76" s="572"/>
      <c r="I76" s="572"/>
      <c r="J76" s="572"/>
      <c r="K76" s="572"/>
      <c r="L76" s="572"/>
      <c r="M76" s="572"/>
      <c r="N76" s="572"/>
      <c r="O76" s="71"/>
      <c r="P76" s="95" t="str">
        <f t="shared" si="6"/>
        <v/>
      </c>
      <c r="Q76" s="173"/>
      <c r="R76"/>
      <c r="S76"/>
      <c r="V76"/>
      <c r="W76"/>
      <c r="X76"/>
      <c r="Y76"/>
      <c r="Z76"/>
      <c r="AA76"/>
      <c r="AB76"/>
      <c r="AC76"/>
    </row>
    <row r="77" spans="1:29" ht="78" customHeight="1" x14ac:dyDescent="0.2">
      <c r="A77" s="107" t="s">
        <v>288</v>
      </c>
      <c r="B77" s="93"/>
      <c r="C77" s="102" t="s">
        <v>249</v>
      </c>
      <c r="D77" s="579" t="s">
        <v>289</v>
      </c>
      <c r="E77" s="572"/>
      <c r="F77" s="572"/>
      <c r="G77" s="572"/>
      <c r="H77" s="572"/>
      <c r="I77" s="572"/>
      <c r="J77" s="572"/>
      <c r="K77" s="572"/>
      <c r="L77" s="572"/>
      <c r="M77" s="572"/>
      <c r="N77" s="582"/>
      <c r="O77" s="71"/>
      <c r="P77" s="95" t="str">
        <f t="shared" si="6"/>
        <v/>
      </c>
      <c r="Q77" s="173"/>
      <c r="R77"/>
      <c r="S77"/>
      <c r="V77"/>
      <c r="W77"/>
      <c r="X77"/>
      <c r="Y77"/>
      <c r="Z77"/>
      <c r="AA77"/>
      <c r="AB77"/>
      <c r="AC77"/>
    </row>
    <row r="78" spans="1:29" ht="108.75" customHeight="1" x14ac:dyDescent="0.2">
      <c r="A78" s="107" t="s">
        <v>73</v>
      </c>
      <c r="B78" s="93"/>
      <c r="C78" s="102" t="s">
        <v>250</v>
      </c>
      <c r="D78" s="579" t="s">
        <v>543</v>
      </c>
      <c r="E78" s="572"/>
      <c r="F78" s="572"/>
      <c r="G78" s="572"/>
      <c r="H78" s="572"/>
      <c r="I78" s="572"/>
      <c r="J78" s="572"/>
      <c r="K78" s="572"/>
      <c r="L78" s="572"/>
      <c r="M78" s="572"/>
      <c r="N78" s="582"/>
      <c r="O78" s="71"/>
      <c r="P78" s="95" t="str">
        <f t="shared" si="6"/>
        <v/>
      </c>
      <c r="Q78" s="173"/>
      <c r="R78"/>
      <c r="S78"/>
      <c r="V78"/>
      <c r="W78"/>
      <c r="X78"/>
      <c r="Y78"/>
      <c r="Z78"/>
      <c r="AA78"/>
      <c r="AB78"/>
      <c r="AC78"/>
    </row>
    <row r="79" spans="1:29" ht="36" customHeight="1" x14ac:dyDescent="0.2">
      <c r="A79" s="107" t="s">
        <v>81</v>
      </c>
      <c r="B79" s="93"/>
      <c r="C79" s="102" t="s">
        <v>251</v>
      </c>
      <c r="D79" s="567" t="s">
        <v>290</v>
      </c>
      <c r="E79" s="572"/>
      <c r="F79" s="572"/>
      <c r="G79" s="572"/>
      <c r="H79" s="572"/>
      <c r="I79" s="572"/>
      <c r="J79" s="572"/>
      <c r="K79" s="572"/>
      <c r="L79" s="572"/>
      <c r="M79" s="572"/>
      <c r="N79" s="582"/>
      <c r="O79" s="71"/>
      <c r="P79" s="95" t="str">
        <f t="shared" si="6"/>
        <v/>
      </c>
      <c r="Q79" s="173"/>
      <c r="R79"/>
      <c r="S79"/>
      <c r="V79"/>
      <c r="W79"/>
      <c r="X79"/>
      <c r="Y79"/>
      <c r="Z79"/>
      <c r="AA79"/>
      <c r="AB79"/>
      <c r="AC79"/>
    </row>
    <row r="80" spans="1:29" ht="91.5" customHeight="1" x14ac:dyDescent="0.2">
      <c r="A80" s="107" t="s">
        <v>81</v>
      </c>
      <c r="B80" s="93"/>
      <c r="C80" s="102" t="s">
        <v>252</v>
      </c>
      <c r="D80" s="579" t="s">
        <v>549</v>
      </c>
      <c r="E80" s="572"/>
      <c r="F80" s="572"/>
      <c r="G80" s="572"/>
      <c r="H80" s="572"/>
      <c r="I80" s="572"/>
      <c r="J80" s="572"/>
      <c r="K80" s="572"/>
      <c r="L80" s="572"/>
      <c r="M80" s="572"/>
      <c r="N80" s="582"/>
      <c r="O80" s="71"/>
      <c r="P80" s="95" t="str">
        <f t="shared" si="6"/>
        <v/>
      </c>
      <c r="Q80" s="173"/>
      <c r="R80"/>
      <c r="S80"/>
      <c r="V80"/>
      <c r="W80"/>
      <c r="X80"/>
      <c r="Y80"/>
      <c r="Z80"/>
      <c r="AA80"/>
      <c r="AB80"/>
      <c r="AC80"/>
    </row>
    <row r="81" spans="1:19" ht="61.5" customHeight="1" x14ac:dyDescent="0.2">
      <c r="A81" s="107" t="s">
        <v>288</v>
      </c>
      <c r="B81" s="93"/>
      <c r="C81" s="102" t="s">
        <v>253</v>
      </c>
      <c r="D81" s="579" t="s">
        <v>291</v>
      </c>
      <c r="E81" s="572"/>
      <c r="F81" s="572"/>
      <c r="G81" s="572"/>
      <c r="H81" s="572"/>
      <c r="I81" s="572"/>
      <c r="J81" s="572"/>
      <c r="K81" s="572"/>
      <c r="L81" s="572"/>
      <c r="M81" s="572"/>
      <c r="N81" s="582"/>
      <c r="O81" s="71"/>
      <c r="P81" s="95" t="str">
        <f t="shared" si="6"/>
        <v/>
      </c>
      <c r="Q81"/>
      <c r="R81"/>
      <c r="S81"/>
    </row>
    <row r="82" spans="1:19" ht="78.75" customHeight="1" x14ac:dyDescent="0.2">
      <c r="A82" s="106">
        <v>1</v>
      </c>
      <c r="B82" s="93"/>
      <c r="C82" s="102" t="s">
        <v>254</v>
      </c>
      <c r="D82" s="609" t="s">
        <v>548</v>
      </c>
      <c r="E82" s="470"/>
      <c r="F82" s="470"/>
      <c r="G82" s="470"/>
      <c r="H82" s="470"/>
      <c r="I82" s="470"/>
      <c r="J82" s="470"/>
      <c r="K82" s="470"/>
      <c r="L82" s="470"/>
      <c r="M82" s="470"/>
      <c r="N82" s="471"/>
      <c r="O82" s="71"/>
      <c r="P82" s="95" t="str">
        <f t="shared" si="6"/>
        <v/>
      </c>
      <c r="Q82"/>
      <c r="R82"/>
      <c r="S82"/>
    </row>
    <row r="83" spans="1:19" ht="20.25" customHeight="1" x14ac:dyDescent="0.2">
      <c r="A83" s="107" t="s">
        <v>73</v>
      </c>
      <c r="C83" s="469" t="s">
        <v>292</v>
      </c>
      <c r="D83" s="470"/>
      <c r="E83" s="470"/>
      <c r="F83" s="470"/>
      <c r="G83" s="470"/>
      <c r="H83" s="470"/>
      <c r="I83" s="470"/>
      <c r="J83" s="470"/>
      <c r="K83" s="470"/>
      <c r="L83" s="470"/>
      <c r="M83" s="470"/>
      <c r="N83" s="470"/>
      <c r="O83" s="346"/>
      <c r="P83" s="95"/>
      <c r="Q83"/>
      <c r="R83"/>
      <c r="S83"/>
    </row>
    <row r="84" spans="1:19" ht="21" customHeight="1" x14ac:dyDescent="0.2">
      <c r="B84" s="93"/>
      <c r="C84" s="581" t="s">
        <v>17</v>
      </c>
      <c r="D84" s="470"/>
      <c r="E84" s="470"/>
      <c r="F84" s="470"/>
      <c r="G84" s="470"/>
      <c r="H84" s="470"/>
      <c r="I84" s="470"/>
      <c r="J84" s="470"/>
      <c r="K84" s="470"/>
      <c r="L84" s="470"/>
      <c r="M84" s="470"/>
      <c r="N84" s="470"/>
      <c r="O84" s="345"/>
      <c r="P84" s="346"/>
      <c r="Q84"/>
      <c r="R84"/>
      <c r="S84"/>
    </row>
    <row r="85" spans="1:19" ht="18" x14ac:dyDescent="0.2">
      <c r="P85" s="345"/>
      <c r="Q85" s="173"/>
      <c r="R85" s="173"/>
      <c r="S85" s="173"/>
    </row>
    <row r="86" spans="1:19" ht="18" x14ac:dyDescent="0.2">
      <c r="P86" s="105"/>
      <c r="Q86" s="173"/>
      <c r="R86" s="173"/>
      <c r="S86" s="173"/>
    </row>
    <row r="87" spans="1:19" x14ac:dyDescent="0.2">
      <c r="P87" s="105"/>
      <c r="Q87" s="105"/>
      <c r="R87" s="105"/>
      <c r="S87" s="105"/>
    </row>
    <row r="88" spans="1:19" x14ac:dyDescent="0.2">
      <c r="Q88" s="105"/>
      <c r="R88" s="105"/>
      <c r="S88" s="105"/>
    </row>
    <row r="89" spans="1:19" x14ac:dyDescent="0.2">
      <c r="Q89" s="105"/>
      <c r="R89" s="105"/>
      <c r="S89" s="105"/>
    </row>
    <row r="90" spans="1:19" x14ac:dyDescent="0.2">
      <c r="Q90" s="105"/>
      <c r="R90" s="105"/>
      <c r="S90" s="105"/>
    </row>
  </sheetData>
  <sheetProtection algorithmName="SHA-512" hashValue="6v63489w5EZsTjD51Ht9Ohg8pvGklTIt1riTGm1/psO7CKKK3JDp635hagBrdUI42B6vvDANPgNRPsYd3FyKuA==" saltValue="RN6bV3DRhx6Ttk7R9TM6/g==" spinCount="100000" sheet="1" objects="1" scenarios="1"/>
  <mergeCells count="83">
    <mergeCell ref="D82:N82"/>
    <mergeCell ref="C83:N83"/>
    <mergeCell ref="C84:N84"/>
    <mergeCell ref="C34:N34"/>
    <mergeCell ref="C35:N35"/>
    <mergeCell ref="D37:N37"/>
    <mergeCell ref="D49:N49"/>
    <mergeCell ref="C50:N50"/>
    <mergeCell ref="D76:N76"/>
    <mergeCell ref="D77:N77"/>
    <mergeCell ref="D78:N78"/>
    <mergeCell ref="D64:N64"/>
    <mergeCell ref="D54:N54"/>
    <mergeCell ref="D63:N63"/>
    <mergeCell ref="D58:N58"/>
    <mergeCell ref="D60:N60"/>
    <mergeCell ref="C61:N61"/>
    <mergeCell ref="C62:N62"/>
    <mergeCell ref="D69:N69"/>
    <mergeCell ref="C71:N71"/>
    <mergeCell ref="D56:N56"/>
    <mergeCell ref="D57:N57"/>
    <mergeCell ref="D52:N52"/>
    <mergeCell ref="D53:N53"/>
    <mergeCell ref="D59:N59"/>
    <mergeCell ref="D13:N13"/>
    <mergeCell ref="D14:N14"/>
    <mergeCell ref="D29:N29"/>
    <mergeCell ref="C51:N51"/>
    <mergeCell ref="D40:N40"/>
    <mergeCell ref="D47:N47"/>
    <mergeCell ref="D48:N48"/>
    <mergeCell ref="D43:N43"/>
    <mergeCell ref="D44:N44"/>
    <mergeCell ref="D45:N45"/>
    <mergeCell ref="D46:N46"/>
    <mergeCell ref="D42:N42"/>
    <mergeCell ref="D41:N41"/>
    <mergeCell ref="D19:N19"/>
    <mergeCell ref="C20:N20"/>
    <mergeCell ref="C21:N21"/>
    <mergeCell ref="D15:N15"/>
    <mergeCell ref="D16:N16"/>
    <mergeCell ref="D17:N17"/>
    <mergeCell ref="D18:N18"/>
    <mergeCell ref="D22:N22"/>
    <mergeCell ref="D31:N31"/>
    <mergeCell ref="D32:N32"/>
    <mergeCell ref="D23:N23"/>
    <mergeCell ref="D24:N24"/>
    <mergeCell ref="D25:N25"/>
    <mergeCell ref="D26:N26"/>
    <mergeCell ref="C27:N27"/>
    <mergeCell ref="D30:N30"/>
    <mergeCell ref="C28:N28"/>
    <mergeCell ref="T1:V1"/>
    <mergeCell ref="U4:V4"/>
    <mergeCell ref="C1:G1"/>
    <mergeCell ref="C2:G2"/>
    <mergeCell ref="D12:N12"/>
    <mergeCell ref="K1:L1"/>
    <mergeCell ref="K2:L2"/>
    <mergeCell ref="E5:G5"/>
    <mergeCell ref="D8:N8"/>
    <mergeCell ref="D9:N9"/>
    <mergeCell ref="D10:N10"/>
    <mergeCell ref="D11:N11"/>
    <mergeCell ref="D33:N33"/>
    <mergeCell ref="D81:N81"/>
    <mergeCell ref="D65:N65"/>
    <mergeCell ref="D66:N66"/>
    <mergeCell ref="D67:N67"/>
    <mergeCell ref="D80:N80"/>
    <mergeCell ref="D79:N79"/>
    <mergeCell ref="D68:N68"/>
    <mergeCell ref="D72:N72"/>
    <mergeCell ref="D73:N73"/>
    <mergeCell ref="D74:N74"/>
    <mergeCell ref="D75:N75"/>
    <mergeCell ref="D36:N36"/>
    <mergeCell ref="D39:N39"/>
    <mergeCell ref="C70:N70"/>
    <mergeCell ref="D55:N55"/>
  </mergeCells>
  <conditionalFormatting sqref="M5">
    <cfRule type="containsText" dxfId="89" priority="4" operator="containsText" text="Fail">
      <formula>NOT(ISERROR(SEARCH("Fail",M5)))</formula>
    </cfRule>
  </conditionalFormatting>
  <conditionalFormatting sqref="P8:S19 P20 P22:S26 P29:S33 Q34:Q46 P36:P37 P39:P49 Q51:Q59 P52:P60 P63:P69 Q63:Q70 P72:P83 Q74:Q80">
    <cfRule type="containsText" dxfId="88" priority="1" operator="containsText" text="Fail">
      <formula>NOT(ISERROR(SEARCH("Fail",P8)))</formula>
    </cfRule>
  </conditionalFormatting>
  <conditionalFormatting sqref="Q85:S86">
    <cfRule type="containsText" dxfId="87" priority="6" operator="containsText" text="Fail">
      <formula>NOT(ISERROR(SEARCH("Fail",Q85)))</formula>
    </cfRule>
  </conditionalFormatting>
  <conditionalFormatting sqref="V1:V3 U4">
    <cfRule type="containsText" dxfId="86" priority="2" operator="containsText" text="Fail">
      <formula>NOT(ISERROR(SEARCH("Fail",U1)))</formula>
    </cfRule>
  </conditionalFormatting>
  <conditionalFormatting sqref="AF9">
    <cfRule type="containsText" dxfId="85" priority="5" operator="containsText" text="Fail">
      <formula>NOT(ISERROR(SEARCH("Fail",AF9)))</formula>
    </cfRule>
  </conditionalFormatting>
  <dataValidations count="4">
    <dataValidation type="whole" operator="greaterThan" allowBlank="1" showInputMessage="1" showErrorMessage="1" sqref="Y9:Y34" xr:uid="{7B340F46-123F-4BE3-A7C7-12F182A20FE4}">
      <formula1>0</formula1>
    </dataValidation>
    <dataValidation type="date" operator="greaterThan" allowBlank="1" showInputMessage="1" showErrorMessage="1" sqref="X9:X34" xr:uid="{064ACA80-7173-48A5-8DC0-071D22A4BC1A}">
      <formula1>36526</formula1>
    </dataValidation>
    <dataValidation type="list" showErrorMessage="1" errorTitle="Invalid Selection" error="Select either Yes, No, or N/A from the dropdown list. Click &quot;Cancel&quot; below, then update selection." sqref="O73:O82 O23:O26 O53:O60 O39:O49 O64:O69 O37 O30:O33 O9:O19" xr:uid="{91C0D001-4678-4B45-9A5C-AF191E597AB9}">
      <formula1>"Yes,No,N/A"</formula1>
    </dataValidation>
    <dataValidation type="decimal" operator="greaterThanOrEqual" allowBlank="1" showInputMessage="1" showErrorMessage="1" errorTitle="Input Error" error="Insert the claimed amount with dollars and cents in $0.00 format. Click &quot;Cancel&quot; below and try again." sqref="Z9:Z34" xr:uid="{BC47B11F-21E9-4E9D-A816-62EE15F1EDF1}">
      <formula1>0</formula1>
    </dataValidation>
  </dataValidations>
  <pageMargins left="0.7" right="0.7" top="1" bottom="0.75" header="0.3" footer="0.3"/>
  <pageSetup scale="70" fitToHeight="0" orientation="portrait" r:id="rId1"/>
  <headerFooter>
    <oddHeader>&amp;CConfidential QI Report
San Diego County Mental Health Plan
Behavioral Health Services
Fiscal Year 23-24</oddHeader>
    <oddFooter>&amp;LFY 23-24 Medical Record Review Report - Excel - Rev. 7-1-23</oddFooter>
  </headerFooter>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043904B0-100E-477C-9AC9-D5343224DFFB}">
          <x14:formula1>
            <xm:f>Validations!$E$4:$E$15</xm:f>
          </x14:formula1>
          <xm:sqref>AA9:AA34</xm:sqref>
        </x14:dataValidation>
        <x14:dataValidation type="list" allowBlank="1" showInputMessage="1" showErrorMessage="1" xr:uid="{16AA43C4-FF5D-4A3D-BC52-C79AA092D12B}">
          <x14:formula1>
            <xm:f>Validations!$D$4:$D$7</xm:f>
          </x14:formula1>
          <xm:sqref>AB9:AB34</xm:sqref>
        </x14:dataValidation>
        <x14:dataValidation type="list" allowBlank="1" showInputMessage="1" showErrorMessage="1" xr:uid="{A255AA9C-4163-40DA-AF5E-0B6D0EE5FAFF}">
          <x14:formula1>
            <xm:f>Validations!$C$4:$C$54</xm:f>
          </x14:formula1>
          <xm:sqref>W9:W34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EFFBF-C0B5-40D7-94D3-3D4DB3A0F711}">
  <sheetPr codeName="Sheet6">
    <tabColor theme="3" tint="0.39997558519241921"/>
  </sheetPr>
  <dimension ref="A1:AE90"/>
  <sheetViews>
    <sheetView showGridLines="0" view="pageBreakPreview" zoomScale="92" zoomScaleNormal="80" zoomScaleSheetLayoutView="92" workbookViewId="0">
      <selection activeCell="D12" sqref="D12:N12"/>
    </sheetView>
  </sheetViews>
  <sheetFormatPr defaultColWidth="9.5703125" defaultRowHeight="15" x14ac:dyDescent="0.2"/>
  <cols>
    <col min="1" max="1" width="7.7109375" style="106" customWidth="1"/>
    <col min="2" max="2" width="8.42578125" style="4" customWidth="1"/>
    <col min="3" max="3" width="8.42578125" style="5" customWidth="1"/>
    <col min="4" max="4" width="2.5703125" style="1" customWidth="1"/>
    <col min="5" max="5" width="7.140625" style="1" customWidth="1"/>
    <col min="6" max="6" width="8.5703125" style="1" customWidth="1"/>
    <col min="7" max="7" width="6.42578125" style="1" customWidth="1"/>
    <col min="8" max="8" width="4.7109375" style="1" customWidth="1"/>
    <col min="9" max="9" width="27.28515625" style="1" customWidth="1"/>
    <col min="10" max="10" width="2.5703125" style="1" customWidth="1"/>
    <col min="11" max="11" width="18.140625" style="1" customWidth="1"/>
    <col min="12" max="12" width="3.42578125" style="1" customWidth="1"/>
    <col min="13" max="13" width="12.140625" style="1" customWidth="1"/>
    <col min="14" max="14" width="9.5703125" style="1" customWidth="1"/>
    <col min="15" max="15" width="11" style="1" customWidth="1"/>
    <col min="16" max="16" width="8.7109375" style="1" hidden="1" customWidth="1"/>
    <col min="17" max="18" width="2.42578125" style="1" customWidth="1"/>
    <col min="19" max="19" width="11.85546875" customWidth="1"/>
    <col min="20" max="20" width="10" customWidth="1"/>
    <col min="21" max="21" width="11.7109375" style="1" customWidth="1"/>
    <col min="22" max="22" width="24.5703125" style="1" customWidth="1"/>
    <col min="23" max="23" width="12.42578125" style="1" customWidth="1"/>
    <col min="24" max="24" width="9.5703125" style="1"/>
    <col min="25" max="25" width="9.5703125" style="1" customWidth="1"/>
    <col min="26" max="26" width="12.140625" style="1" customWidth="1"/>
    <col min="27" max="27" width="15.28515625" style="1" customWidth="1"/>
    <col min="28" max="28" width="22.140625" style="1" customWidth="1"/>
    <col min="29" max="16384" width="9.5703125" style="1"/>
  </cols>
  <sheetData>
    <row r="1" spans="1:31" s="5" customFormat="1" ht="15.75" x14ac:dyDescent="0.25">
      <c r="A1" s="106"/>
      <c r="B1" s="4"/>
      <c r="C1" s="560" t="s">
        <v>338</v>
      </c>
      <c r="D1" s="561"/>
      <c r="E1" s="561"/>
      <c r="F1" s="561"/>
      <c r="G1" s="562"/>
      <c r="H1"/>
      <c r="I1" s="86" t="s">
        <v>38</v>
      </c>
      <c r="J1" s="153"/>
      <c r="K1" s="560" t="s">
        <v>12</v>
      </c>
      <c r="L1" s="562"/>
      <c r="N1"/>
      <c r="O1"/>
      <c r="P1"/>
      <c r="Q1"/>
      <c r="R1"/>
      <c r="S1" s="560" t="s">
        <v>260</v>
      </c>
      <c r="T1" s="561"/>
      <c r="U1" s="562"/>
      <c r="V1"/>
      <c r="W1"/>
      <c r="X1"/>
      <c r="Y1"/>
      <c r="Z1"/>
      <c r="AA1"/>
      <c r="AB1"/>
    </row>
    <row r="2" spans="1:31" s="5" customFormat="1" ht="15" customHeight="1" x14ac:dyDescent="0.2">
      <c r="A2" s="106"/>
      <c r="B2" s="4"/>
      <c r="C2" s="583">
        <f>'Chart Review Info'!D3</f>
        <v>0</v>
      </c>
      <c r="D2" s="584"/>
      <c r="E2" s="584"/>
      <c r="F2" s="584"/>
      <c r="G2" s="585"/>
      <c r="H2"/>
      <c r="I2" s="150">
        <f>'Chart Review Info'!D4</f>
        <v>0</v>
      </c>
      <c r="J2" s="153"/>
      <c r="K2" s="592">
        <f>'Chart Review Info'!F17</f>
        <v>0</v>
      </c>
      <c r="L2" s="591"/>
      <c r="N2"/>
      <c r="O2"/>
      <c r="P2"/>
      <c r="Q2"/>
      <c r="R2"/>
      <c r="S2" s="55">
        <f>'Chart Review Info'!G4</f>
        <v>0</v>
      </c>
      <c r="T2" s="82" t="s">
        <v>261</v>
      </c>
      <c r="U2" s="83">
        <f>'Chart Review Info'!G5</f>
        <v>0</v>
      </c>
      <c r="V2"/>
      <c r="W2"/>
      <c r="X2"/>
      <c r="Y2"/>
      <c r="Z2"/>
      <c r="AA2"/>
      <c r="AB2"/>
    </row>
    <row r="3" spans="1:31" s="5" customFormat="1" x14ac:dyDescent="0.2">
      <c r="A3" s="106"/>
      <c r="B3" s="4"/>
      <c r="C3" s="84"/>
      <c r="H3"/>
      <c r="J3" s="98"/>
      <c r="V3"/>
      <c r="W3"/>
      <c r="X3"/>
      <c r="Y3"/>
      <c r="Z3"/>
      <c r="AA3"/>
      <c r="AB3"/>
    </row>
    <row r="4" spans="1:31" s="5" customFormat="1" ht="15.75" x14ac:dyDescent="0.25">
      <c r="A4" s="106"/>
      <c r="B4" s="4"/>
      <c r="C4" s="85" t="s">
        <v>202</v>
      </c>
      <c r="E4" s="85" t="s">
        <v>86</v>
      </c>
      <c r="F4" s="86"/>
      <c r="G4" s="85"/>
      <c r="H4"/>
      <c r="I4" s="151" t="s">
        <v>350</v>
      </c>
      <c r="J4" s="98"/>
      <c r="K4" s="87" t="s">
        <v>260</v>
      </c>
      <c r="L4" s="88"/>
      <c r="O4" s="86" t="s">
        <v>294</v>
      </c>
      <c r="P4"/>
      <c r="Q4"/>
      <c r="R4"/>
      <c r="S4" s="85" t="s">
        <v>12</v>
      </c>
      <c r="T4" s="563">
        <f>Prog_4</f>
        <v>0</v>
      </c>
      <c r="U4" s="564"/>
      <c r="V4"/>
      <c r="W4"/>
      <c r="X4"/>
      <c r="Y4"/>
      <c r="Z4"/>
      <c r="AA4"/>
      <c r="AB4"/>
    </row>
    <row r="5" spans="1:31" s="5" customFormat="1" x14ac:dyDescent="0.2">
      <c r="A5" s="106"/>
      <c r="B5" s="4"/>
      <c r="C5" s="54">
        <v>4</v>
      </c>
      <c r="E5" s="589" t="str">
        <f>'Chart Review Info'!C17</f>
        <v>N/A</v>
      </c>
      <c r="F5" s="590"/>
      <c r="G5" s="591"/>
      <c r="H5"/>
      <c r="I5" s="152">
        <f>Consum_4</f>
        <v>0</v>
      </c>
      <c r="J5" s="98"/>
      <c r="K5" s="293">
        <f>'Chart Review Info'!G4</f>
        <v>0</v>
      </c>
      <c r="L5" s="102" t="s">
        <v>261</v>
      </c>
      <c r="M5" s="293">
        <f>'Chart Review Info'!G5</f>
        <v>0</v>
      </c>
      <c r="O5" s="54">
        <f>'Chart Review Info'!G17</f>
        <v>0</v>
      </c>
      <c r="P5"/>
      <c r="Q5"/>
      <c r="R5"/>
      <c r="S5"/>
      <c r="T5"/>
      <c r="V5"/>
      <c r="W5"/>
      <c r="X5"/>
      <c r="Y5" s="6" t="s">
        <v>514</v>
      </c>
      <c r="Z5"/>
      <c r="AA5"/>
      <c r="AB5"/>
    </row>
    <row r="6" spans="1:31" x14ac:dyDescent="0.2">
      <c r="C6" s="154"/>
      <c r="D6" s="158"/>
      <c r="E6" s="155"/>
      <c r="F6" s="155"/>
      <c r="G6" s="155"/>
      <c r="H6" s="155"/>
      <c r="I6" s="155"/>
      <c r="J6" s="155"/>
      <c r="K6" s="155"/>
      <c r="L6" s="155"/>
      <c r="M6" s="155"/>
      <c r="N6" s="155"/>
      <c r="O6" s="155"/>
      <c r="P6" s="155"/>
      <c r="Q6" s="155"/>
      <c r="R6" s="155"/>
      <c r="T6" s="1"/>
      <c r="W6" s="51"/>
      <c r="Y6" s="329">
        <f>SUM(Y9:Y16)</f>
        <v>0</v>
      </c>
      <c r="AA6" s="13"/>
      <c r="AB6" s="13"/>
    </row>
    <row r="7" spans="1:31" ht="23.25" x14ac:dyDescent="0.25">
      <c r="C7" s="89" t="s">
        <v>262</v>
      </c>
      <c r="D7" s="159"/>
      <c r="E7" s="90"/>
      <c r="F7" s="90"/>
      <c r="G7" s="90"/>
      <c r="H7" s="90"/>
      <c r="I7" s="90"/>
      <c r="J7" s="90"/>
      <c r="K7" s="90"/>
      <c r="L7" s="90"/>
      <c r="M7" s="90"/>
      <c r="N7" s="90"/>
      <c r="O7" s="90"/>
      <c r="P7" s="90"/>
      <c r="S7" s="20"/>
      <c r="T7" s="21"/>
      <c r="U7" s="21"/>
      <c r="V7" s="21"/>
      <c r="W7" s="21"/>
      <c r="X7" s="160" t="s">
        <v>263</v>
      </c>
      <c r="Y7" s="160"/>
      <c r="Z7" s="160"/>
      <c r="AA7" s="22"/>
      <c r="AB7" s="23"/>
    </row>
    <row r="8" spans="1:31" ht="27" customHeight="1" x14ac:dyDescent="0.25">
      <c r="C8" s="91" t="s">
        <v>264</v>
      </c>
      <c r="D8" s="588" t="s">
        <v>68</v>
      </c>
      <c r="E8" s="574"/>
      <c r="F8" s="574"/>
      <c r="G8" s="574"/>
      <c r="H8" s="574"/>
      <c r="I8" s="574"/>
      <c r="J8" s="574"/>
      <c r="K8" s="574"/>
      <c r="L8" s="574"/>
      <c r="M8" s="574"/>
      <c r="N8" s="574"/>
      <c r="O8" s="92" t="s">
        <v>265</v>
      </c>
      <c r="P8" s="92" t="s">
        <v>266</v>
      </c>
      <c r="Q8" s="359"/>
      <c r="R8" s="351"/>
      <c r="S8" s="7" t="s">
        <v>449</v>
      </c>
      <c r="T8" s="9" t="s">
        <v>87</v>
      </c>
      <c r="U8" s="7" t="s">
        <v>88</v>
      </c>
      <c r="V8" s="7" t="s">
        <v>89</v>
      </c>
      <c r="W8" s="7" t="s">
        <v>90</v>
      </c>
      <c r="X8" s="7" t="s">
        <v>644</v>
      </c>
      <c r="Y8" s="8" t="s">
        <v>201</v>
      </c>
      <c r="Z8" s="116" t="s">
        <v>91</v>
      </c>
      <c r="AA8" s="117" t="s">
        <v>95</v>
      </c>
      <c r="AB8" s="117" t="s">
        <v>92</v>
      </c>
    </row>
    <row r="9" spans="1:31" ht="60" customHeight="1" x14ac:dyDescent="0.2">
      <c r="A9" s="212" t="s">
        <v>73</v>
      </c>
      <c r="B9" s="93"/>
      <c r="C9" s="94" t="s">
        <v>204</v>
      </c>
      <c r="D9" s="567" t="s">
        <v>658</v>
      </c>
      <c r="E9" s="470"/>
      <c r="F9" s="470"/>
      <c r="G9" s="470"/>
      <c r="H9" s="470"/>
      <c r="I9" s="470"/>
      <c r="J9" s="470"/>
      <c r="K9" s="470"/>
      <c r="L9" s="470"/>
      <c r="M9" s="470"/>
      <c r="N9" s="471"/>
      <c r="O9" s="71"/>
      <c r="P9" s="95" t="str">
        <f t="shared" ref="P9:P12" si="0">IF(O9="","",IF(O9="Yes","Pass",IF(O9="No","Fail","N/A")))</f>
        <v/>
      </c>
      <c r="Q9" s="173"/>
      <c r="R9" s="173"/>
      <c r="S9" s="124"/>
      <c r="T9" s="125"/>
      <c r="U9" s="125"/>
      <c r="V9" s="125"/>
      <c r="W9" s="126"/>
      <c r="X9" s="125"/>
      <c r="Y9" s="127"/>
      <c r="Z9" s="128"/>
      <c r="AA9" s="129"/>
      <c r="AB9" s="130"/>
      <c r="AC9" s="96"/>
      <c r="AD9" s="96"/>
      <c r="AE9" s="96"/>
    </row>
    <row r="10" spans="1:31" ht="87" customHeight="1" x14ac:dyDescent="0.2">
      <c r="A10" s="107">
        <v>1</v>
      </c>
      <c r="B10" s="93"/>
      <c r="C10" s="94" t="s">
        <v>205</v>
      </c>
      <c r="D10" s="567" t="s">
        <v>528</v>
      </c>
      <c r="E10" s="586"/>
      <c r="F10" s="586"/>
      <c r="G10" s="586"/>
      <c r="H10" s="586"/>
      <c r="I10" s="586"/>
      <c r="J10" s="586"/>
      <c r="K10" s="586"/>
      <c r="L10" s="586"/>
      <c r="M10" s="586"/>
      <c r="N10" s="587"/>
      <c r="O10" s="71"/>
      <c r="P10" s="95" t="str">
        <f t="shared" si="0"/>
        <v/>
      </c>
      <c r="Q10" s="173"/>
      <c r="R10" s="173"/>
      <c r="S10" s="124"/>
      <c r="T10" s="124"/>
      <c r="U10" s="124"/>
      <c r="V10" s="125"/>
      <c r="W10" s="131"/>
      <c r="X10" s="124"/>
      <c r="Y10" s="127"/>
      <c r="Z10" s="128"/>
      <c r="AA10" s="129"/>
      <c r="AB10" s="129"/>
    </row>
    <row r="11" spans="1:31" ht="50.25" customHeight="1" x14ac:dyDescent="0.2">
      <c r="A11" s="107" t="s">
        <v>70</v>
      </c>
      <c r="B11" s="93"/>
      <c r="C11" s="94" t="s">
        <v>206</v>
      </c>
      <c r="D11" s="567" t="s">
        <v>529</v>
      </c>
      <c r="E11" s="586"/>
      <c r="F11" s="586"/>
      <c r="G11" s="586"/>
      <c r="H11" s="586"/>
      <c r="I11" s="586"/>
      <c r="J11" s="586"/>
      <c r="K11" s="586"/>
      <c r="L11" s="586"/>
      <c r="M11" s="586"/>
      <c r="N11" s="587"/>
      <c r="O11" s="71"/>
      <c r="P11" s="95" t="str">
        <f t="shared" si="0"/>
        <v/>
      </c>
      <c r="Q11" s="173"/>
      <c r="R11" s="173"/>
      <c r="S11" s="124"/>
      <c r="T11" s="124"/>
      <c r="U11" s="124"/>
      <c r="V11" s="125"/>
      <c r="W11" s="131"/>
      <c r="X11" s="124"/>
      <c r="Y11" s="127"/>
      <c r="Z11" s="128"/>
      <c r="AA11" s="129"/>
      <c r="AB11" s="129"/>
    </row>
    <row r="12" spans="1:31" ht="33.75" customHeight="1" x14ac:dyDescent="0.2">
      <c r="A12" s="106">
        <v>1</v>
      </c>
      <c r="C12" s="94" t="s">
        <v>207</v>
      </c>
      <c r="D12" s="567" t="s">
        <v>659</v>
      </c>
      <c r="E12" s="586"/>
      <c r="F12" s="586"/>
      <c r="G12" s="586"/>
      <c r="H12" s="586"/>
      <c r="I12" s="586"/>
      <c r="J12" s="586"/>
      <c r="K12" s="586"/>
      <c r="L12" s="586"/>
      <c r="M12" s="586"/>
      <c r="N12" s="587"/>
      <c r="O12" s="71"/>
      <c r="P12" s="95" t="str">
        <f t="shared" si="0"/>
        <v/>
      </c>
      <c r="Q12" s="173"/>
      <c r="R12" s="173"/>
      <c r="S12" s="124"/>
      <c r="T12" s="124"/>
      <c r="U12" s="124"/>
      <c r="V12" s="125"/>
      <c r="W12" s="131"/>
      <c r="X12" s="124"/>
      <c r="Y12" s="127"/>
      <c r="Z12" s="128"/>
      <c r="AA12" s="129"/>
      <c r="AB12" s="129"/>
    </row>
    <row r="13" spans="1:31" ht="36" customHeight="1" x14ac:dyDescent="0.2">
      <c r="A13" s="107">
        <v>1</v>
      </c>
      <c r="B13" s="93"/>
      <c r="C13" s="97" t="s">
        <v>208</v>
      </c>
      <c r="D13" s="567" t="s">
        <v>656</v>
      </c>
      <c r="E13" s="470"/>
      <c r="F13" s="470"/>
      <c r="G13" s="470"/>
      <c r="H13" s="470"/>
      <c r="I13" s="470"/>
      <c r="J13" s="470"/>
      <c r="K13" s="470"/>
      <c r="L13" s="470"/>
      <c r="M13" s="470"/>
      <c r="N13" s="471"/>
      <c r="O13" s="71"/>
      <c r="P13" s="95" t="str">
        <f t="shared" ref="P13:P19" si="1">IF(O13="","",IF(O13="Yes","Pass",IF(O13="No","Fail","N/A")))</f>
        <v/>
      </c>
      <c r="Q13" s="173"/>
      <c r="R13" s="173"/>
      <c r="S13" s="124"/>
      <c r="T13" s="124"/>
      <c r="U13" s="124"/>
      <c r="V13" s="125"/>
      <c r="W13" s="131"/>
      <c r="X13" s="124"/>
      <c r="Y13" s="127"/>
      <c r="Z13" s="128"/>
      <c r="AA13" s="129"/>
      <c r="AB13" s="129"/>
    </row>
    <row r="14" spans="1:31" ht="46.5" customHeight="1" x14ac:dyDescent="0.2">
      <c r="A14" s="107" t="s">
        <v>70</v>
      </c>
      <c r="B14" s="93"/>
      <c r="C14" s="97" t="s">
        <v>209</v>
      </c>
      <c r="D14" s="567" t="s">
        <v>530</v>
      </c>
      <c r="E14" s="586"/>
      <c r="F14" s="586"/>
      <c r="G14" s="586"/>
      <c r="H14" s="586"/>
      <c r="I14" s="586"/>
      <c r="J14" s="586"/>
      <c r="K14" s="586"/>
      <c r="L14" s="586"/>
      <c r="M14" s="586"/>
      <c r="N14" s="587"/>
      <c r="O14" s="71"/>
      <c r="P14" s="95" t="str">
        <f t="shared" si="1"/>
        <v/>
      </c>
      <c r="Q14" s="173"/>
      <c r="R14" s="173"/>
      <c r="S14" s="124"/>
      <c r="T14" s="124"/>
      <c r="U14" s="124"/>
      <c r="V14" s="125"/>
      <c r="W14" s="131"/>
      <c r="X14" s="124"/>
      <c r="Y14" s="127"/>
      <c r="Z14" s="128"/>
      <c r="AA14" s="129"/>
      <c r="AB14" s="129"/>
    </row>
    <row r="15" spans="1:31" ht="49.5" customHeight="1" x14ac:dyDescent="0.2">
      <c r="A15" s="107">
        <v>1</v>
      </c>
      <c r="B15" s="93"/>
      <c r="C15" s="94" t="s">
        <v>210</v>
      </c>
      <c r="D15" s="567" t="s">
        <v>531</v>
      </c>
      <c r="E15" s="586"/>
      <c r="F15" s="586"/>
      <c r="G15" s="586"/>
      <c r="H15" s="586"/>
      <c r="I15" s="586"/>
      <c r="J15" s="586"/>
      <c r="K15" s="586"/>
      <c r="L15" s="586"/>
      <c r="M15" s="586"/>
      <c r="N15" s="587"/>
      <c r="O15" s="71"/>
      <c r="P15" s="95" t="str">
        <f t="shared" si="1"/>
        <v/>
      </c>
      <c r="Q15" s="173"/>
      <c r="R15" s="173"/>
      <c r="S15" s="124"/>
      <c r="T15" s="124"/>
      <c r="U15" s="124"/>
      <c r="V15" s="125"/>
      <c r="W15" s="131"/>
      <c r="X15" s="124"/>
      <c r="Y15" s="127"/>
      <c r="Z15" s="128"/>
      <c r="AA15" s="129"/>
      <c r="AB15" s="129"/>
    </row>
    <row r="16" spans="1:31" ht="66.75" customHeight="1" x14ac:dyDescent="0.2">
      <c r="A16" s="106">
        <v>1</v>
      </c>
      <c r="C16" s="97" t="s">
        <v>211</v>
      </c>
      <c r="D16" s="567" t="s">
        <v>532</v>
      </c>
      <c r="E16" s="586"/>
      <c r="F16" s="586"/>
      <c r="G16" s="586"/>
      <c r="H16" s="586"/>
      <c r="I16" s="586"/>
      <c r="J16" s="586"/>
      <c r="K16" s="586"/>
      <c r="L16" s="586"/>
      <c r="M16" s="586"/>
      <c r="N16" s="587"/>
      <c r="O16" s="71"/>
      <c r="P16" s="95" t="str">
        <f t="shared" si="1"/>
        <v/>
      </c>
      <c r="Q16" s="173"/>
      <c r="R16" s="173"/>
      <c r="S16" s="124"/>
      <c r="T16" s="124"/>
      <c r="U16" s="124"/>
      <c r="V16" s="125"/>
      <c r="W16" s="131"/>
      <c r="X16" s="124"/>
      <c r="Y16" s="127"/>
      <c r="Z16" s="128"/>
      <c r="AA16" s="129"/>
      <c r="AB16" s="129"/>
    </row>
    <row r="17" spans="1:28" ht="39" customHeight="1" x14ac:dyDescent="0.2">
      <c r="A17" s="107" t="s">
        <v>70</v>
      </c>
      <c r="B17" s="93"/>
      <c r="C17" s="97" t="s">
        <v>212</v>
      </c>
      <c r="D17" s="567" t="s">
        <v>533</v>
      </c>
      <c r="E17" s="586"/>
      <c r="F17" s="586"/>
      <c r="G17" s="586"/>
      <c r="H17" s="586"/>
      <c r="I17" s="586"/>
      <c r="J17" s="586"/>
      <c r="K17" s="586"/>
      <c r="L17" s="586"/>
      <c r="M17" s="586"/>
      <c r="N17" s="587"/>
      <c r="O17" s="71"/>
      <c r="P17" s="95" t="str">
        <f t="shared" si="1"/>
        <v/>
      </c>
      <c r="Q17" s="173"/>
      <c r="R17" s="173"/>
      <c r="S17" s="124"/>
      <c r="T17" s="124"/>
      <c r="U17" s="124"/>
      <c r="V17" s="125"/>
      <c r="W17" s="131"/>
      <c r="X17" s="124"/>
      <c r="Y17" s="127"/>
      <c r="Z17" s="128"/>
      <c r="AA17" s="129"/>
      <c r="AB17" s="129"/>
    </row>
    <row r="18" spans="1:28" ht="83.25" customHeight="1" x14ac:dyDescent="0.2">
      <c r="A18" s="107" t="s">
        <v>70</v>
      </c>
      <c r="B18" s="93"/>
      <c r="C18" s="94" t="s">
        <v>657</v>
      </c>
      <c r="D18" s="567" t="s">
        <v>534</v>
      </c>
      <c r="E18" s="586"/>
      <c r="F18" s="586"/>
      <c r="G18" s="586"/>
      <c r="H18" s="586"/>
      <c r="I18" s="586"/>
      <c r="J18" s="586"/>
      <c r="K18" s="586"/>
      <c r="L18" s="586"/>
      <c r="M18" s="586"/>
      <c r="N18" s="587"/>
      <c r="O18" s="71"/>
      <c r="P18" s="95" t="str">
        <f t="shared" si="1"/>
        <v/>
      </c>
      <c r="Q18" s="173"/>
      <c r="R18" s="173"/>
      <c r="S18" s="124"/>
      <c r="T18" s="124"/>
      <c r="U18" s="124"/>
      <c r="V18" s="125"/>
      <c r="W18" s="131"/>
      <c r="X18" s="124"/>
      <c r="Y18" s="127"/>
      <c r="Z18" s="128"/>
      <c r="AA18" s="129"/>
      <c r="AB18" s="129"/>
    </row>
    <row r="19" spans="1:28" ht="47.25" customHeight="1" x14ac:dyDescent="0.2">
      <c r="A19" s="107" t="s">
        <v>81</v>
      </c>
      <c r="B19" s="93"/>
      <c r="C19" s="391" t="s">
        <v>213</v>
      </c>
      <c r="D19" s="571" t="s">
        <v>535</v>
      </c>
      <c r="E19" s="572"/>
      <c r="F19" s="572"/>
      <c r="G19" s="572"/>
      <c r="H19" s="572"/>
      <c r="I19" s="572"/>
      <c r="J19" s="572"/>
      <c r="K19" s="572"/>
      <c r="L19" s="572"/>
      <c r="M19" s="572"/>
      <c r="N19" s="572"/>
      <c r="O19" s="71"/>
      <c r="P19" s="95" t="str">
        <f t="shared" si="1"/>
        <v/>
      </c>
      <c r="Q19" s="173"/>
      <c r="R19" s="173"/>
      <c r="S19" s="124"/>
      <c r="T19" s="124"/>
      <c r="U19" s="124"/>
      <c r="V19" s="125"/>
      <c r="W19" s="131"/>
      <c r="X19" s="124"/>
      <c r="Y19" s="127"/>
      <c r="Z19" s="128"/>
      <c r="AA19" s="129"/>
      <c r="AB19" s="129"/>
    </row>
    <row r="20" spans="1:28" ht="22.5" customHeight="1" x14ac:dyDescent="0.2">
      <c r="A20" s="106">
        <v>1</v>
      </c>
      <c r="B20" s="93"/>
      <c r="C20" s="575" t="s">
        <v>267</v>
      </c>
      <c r="D20" s="470"/>
      <c r="E20" s="470"/>
      <c r="F20" s="470"/>
      <c r="G20" s="470"/>
      <c r="H20" s="470"/>
      <c r="I20" s="470"/>
      <c r="J20" s="470"/>
      <c r="K20" s="470"/>
      <c r="L20" s="470"/>
      <c r="M20" s="470"/>
      <c r="N20" s="470"/>
      <c r="O20"/>
      <c r="P20" s="392"/>
      <c r="Q20" s="174"/>
      <c r="R20" s="174"/>
      <c r="S20" s="124"/>
      <c r="T20" s="124"/>
      <c r="U20" s="124"/>
      <c r="V20" s="125"/>
      <c r="W20" s="131"/>
      <c r="X20" s="124"/>
      <c r="Y20" s="127"/>
      <c r="Z20" s="128"/>
      <c r="AA20" s="129"/>
      <c r="AB20" s="129"/>
    </row>
    <row r="21" spans="1:28" ht="30.75" customHeight="1" x14ac:dyDescent="0.2">
      <c r="A21" s="107" t="s">
        <v>73</v>
      </c>
      <c r="C21" s="581" t="s">
        <v>17</v>
      </c>
      <c r="D21" s="470"/>
      <c r="E21" s="470"/>
      <c r="F21" s="470"/>
      <c r="G21" s="470"/>
      <c r="H21" s="470"/>
      <c r="I21" s="470"/>
      <c r="J21" s="470"/>
      <c r="K21" s="470"/>
      <c r="L21" s="470"/>
      <c r="M21" s="470"/>
      <c r="N21" s="471"/>
      <c r="O21" s="345"/>
      <c r="P21" s="343"/>
      <c r="Q21" s="172"/>
      <c r="R21" s="172"/>
      <c r="S21" s="124"/>
      <c r="T21" s="124"/>
      <c r="U21" s="124"/>
      <c r="V21" s="125"/>
      <c r="W21" s="131"/>
      <c r="X21" s="124"/>
      <c r="Y21" s="132"/>
      <c r="Z21" s="128"/>
      <c r="AA21" s="129"/>
      <c r="AB21" s="129"/>
    </row>
    <row r="22" spans="1:28" ht="18" customHeight="1" x14ac:dyDescent="0.25">
      <c r="C22" s="100" t="s">
        <v>264</v>
      </c>
      <c r="D22" s="573" t="s">
        <v>71</v>
      </c>
      <c r="E22" s="574"/>
      <c r="F22" s="574"/>
      <c r="G22" s="574"/>
      <c r="H22" s="574"/>
      <c r="I22" s="574"/>
      <c r="J22" s="574"/>
      <c r="K22" s="574"/>
      <c r="L22" s="574"/>
      <c r="M22" s="574"/>
      <c r="N22" s="440"/>
      <c r="O22" s="101" t="s">
        <v>265</v>
      </c>
      <c r="P22" s="101" t="s">
        <v>266</v>
      </c>
      <c r="Q22" s="359"/>
      <c r="R22" s="175"/>
      <c r="S22" s="124"/>
      <c r="T22" s="124"/>
      <c r="U22" s="124"/>
      <c r="V22" s="125"/>
      <c r="W22" s="131"/>
      <c r="X22" s="124"/>
      <c r="Y22" s="127"/>
      <c r="Z22" s="128"/>
      <c r="AA22" s="129"/>
      <c r="AB22" s="129"/>
    </row>
    <row r="23" spans="1:28" ht="18" customHeight="1" x14ac:dyDescent="0.2">
      <c r="A23" s="106">
        <v>1</v>
      </c>
      <c r="C23" s="102" t="s">
        <v>215</v>
      </c>
      <c r="D23" s="567" t="s">
        <v>268</v>
      </c>
      <c r="E23" s="470"/>
      <c r="F23" s="470"/>
      <c r="G23" s="470"/>
      <c r="H23" s="470"/>
      <c r="I23" s="470"/>
      <c r="J23" s="470"/>
      <c r="K23" s="470"/>
      <c r="L23" s="470"/>
      <c r="M23" s="470"/>
      <c r="N23" s="471"/>
      <c r="O23" s="71"/>
      <c r="P23" s="95" t="str">
        <f>IF(O23="","",IF(O23="Yes","Pass",IF(O23="No","Fail","N/A")))</f>
        <v/>
      </c>
      <c r="Q23" s="173"/>
      <c r="R23" s="173"/>
      <c r="S23" s="124"/>
      <c r="T23" s="124"/>
      <c r="U23" s="124"/>
      <c r="V23" s="125"/>
      <c r="W23" s="131"/>
      <c r="X23" s="124"/>
      <c r="Y23" s="127"/>
      <c r="Z23" s="128"/>
      <c r="AA23" s="129"/>
      <c r="AB23" s="129"/>
    </row>
    <row r="24" spans="1:28" ht="45" customHeight="1" x14ac:dyDescent="0.2">
      <c r="A24" s="107" t="s">
        <v>69</v>
      </c>
      <c r="C24" s="97" t="s">
        <v>216</v>
      </c>
      <c r="D24" s="567" t="s">
        <v>269</v>
      </c>
      <c r="E24" s="470"/>
      <c r="F24" s="470"/>
      <c r="G24" s="470"/>
      <c r="H24" s="470"/>
      <c r="I24" s="470"/>
      <c r="J24" s="470"/>
      <c r="K24" s="470"/>
      <c r="L24" s="470"/>
      <c r="M24" s="470"/>
      <c r="N24" s="471"/>
      <c r="O24" s="71"/>
      <c r="P24" s="95" t="str">
        <f>IF(O24="","",IF(O24="Yes","Pass",IF(O24="No","Fail","N/A")))</f>
        <v/>
      </c>
      <c r="Q24" s="173"/>
      <c r="R24" s="173"/>
      <c r="S24" s="124"/>
      <c r="T24" s="124"/>
      <c r="U24" s="124"/>
      <c r="V24" s="125"/>
      <c r="W24" s="131"/>
      <c r="X24" s="124"/>
      <c r="Y24" s="127"/>
      <c r="Z24" s="128"/>
      <c r="AA24" s="129"/>
      <c r="AB24" s="129"/>
    </row>
    <row r="25" spans="1:28" ht="45" customHeight="1" x14ac:dyDescent="0.2">
      <c r="A25" s="107" t="s">
        <v>69</v>
      </c>
      <c r="B25" s="93"/>
      <c r="C25" s="97" t="s">
        <v>217</v>
      </c>
      <c r="D25" s="567" t="s">
        <v>270</v>
      </c>
      <c r="E25" s="470"/>
      <c r="F25" s="470"/>
      <c r="G25" s="470"/>
      <c r="H25" s="470"/>
      <c r="I25" s="470"/>
      <c r="J25" s="470"/>
      <c r="K25" s="470"/>
      <c r="L25" s="470"/>
      <c r="M25" s="470"/>
      <c r="N25" s="471"/>
      <c r="O25" s="71"/>
      <c r="P25" s="95" t="str">
        <f>IF(O25="","",IF(O25="Yes","Pass",IF(O25="No","Fail","N/A")))</f>
        <v/>
      </c>
      <c r="Q25" s="173"/>
      <c r="R25" s="173"/>
      <c r="S25" s="124"/>
      <c r="T25" s="124"/>
      <c r="U25" s="124"/>
      <c r="V25" s="125"/>
      <c r="W25" s="131"/>
      <c r="X25" s="124"/>
      <c r="Y25" s="127"/>
      <c r="Z25" s="128"/>
      <c r="AA25" s="129"/>
      <c r="AB25" s="129"/>
    </row>
    <row r="26" spans="1:28" ht="51.75" customHeight="1" x14ac:dyDescent="0.2">
      <c r="A26" s="107" t="s">
        <v>69</v>
      </c>
      <c r="B26" s="93"/>
      <c r="C26" s="97" t="s">
        <v>218</v>
      </c>
      <c r="D26" s="567" t="s">
        <v>271</v>
      </c>
      <c r="E26" s="470"/>
      <c r="F26" s="470"/>
      <c r="G26" s="470"/>
      <c r="H26" s="470"/>
      <c r="I26" s="470"/>
      <c r="J26" s="470"/>
      <c r="K26" s="470"/>
      <c r="L26" s="470"/>
      <c r="M26" s="470"/>
      <c r="N26" s="470"/>
      <c r="O26" s="71"/>
      <c r="P26" s="95" t="str">
        <f>IF(O26="","",IF(O26="Yes","Pass",IF(O26="No","Fail","N/A")))</f>
        <v/>
      </c>
      <c r="Q26" s="173"/>
      <c r="R26" s="173"/>
      <c r="S26" s="124"/>
      <c r="T26" s="124"/>
      <c r="U26" s="124"/>
      <c r="V26" s="125"/>
      <c r="W26" s="131"/>
      <c r="X26" s="124"/>
      <c r="Y26" s="127"/>
      <c r="Z26" s="128"/>
      <c r="AA26" s="129"/>
      <c r="AB26" s="129"/>
    </row>
    <row r="27" spans="1:28" ht="22.5" customHeight="1" x14ac:dyDescent="0.2">
      <c r="A27" s="106">
        <v>1</v>
      </c>
      <c r="B27" s="93"/>
      <c r="C27" s="580" t="s">
        <v>272</v>
      </c>
      <c r="D27" s="470"/>
      <c r="E27" s="470"/>
      <c r="F27" s="470"/>
      <c r="G27" s="470"/>
      <c r="H27" s="470"/>
      <c r="I27" s="470"/>
      <c r="J27" s="470"/>
      <c r="K27" s="470"/>
      <c r="L27" s="470"/>
      <c r="M27" s="470"/>
      <c r="N27" s="470"/>
      <c r="O27" s="341"/>
      <c r="Q27" s="123"/>
      <c r="R27" s="123"/>
      <c r="S27" s="124"/>
      <c r="T27" s="124"/>
      <c r="U27" s="124"/>
      <c r="V27" s="125"/>
      <c r="W27" s="131"/>
      <c r="X27" s="124"/>
      <c r="Y27" s="127"/>
      <c r="Z27" s="128"/>
      <c r="AA27" s="129"/>
      <c r="AB27" s="129"/>
    </row>
    <row r="28" spans="1:28" ht="29.25" customHeight="1" x14ac:dyDescent="0.2">
      <c r="A28" s="107" t="s">
        <v>73</v>
      </c>
      <c r="C28" s="581" t="s">
        <v>17</v>
      </c>
      <c r="D28" s="470"/>
      <c r="E28" s="470"/>
      <c r="F28" s="470"/>
      <c r="G28" s="470"/>
      <c r="H28" s="470"/>
      <c r="I28" s="470"/>
      <c r="J28" s="470"/>
      <c r="K28" s="470"/>
      <c r="L28" s="470"/>
      <c r="M28" s="470"/>
      <c r="N28" s="470"/>
      <c r="O28" s="345"/>
      <c r="P28" s="340"/>
      <c r="Q28" s="123"/>
      <c r="R28" s="123"/>
      <c r="S28" s="124"/>
      <c r="T28" s="124"/>
      <c r="U28" s="124"/>
      <c r="V28" s="125"/>
      <c r="W28" s="131"/>
      <c r="X28" s="133"/>
      <c r="Y28" s="132"/>
      <c r="Z28" s="128"/>
      <c r="AA28" s="129"/>
      <c r="AB28" s="129"/>
    </row>
    <row r="29" spans="1:28" ht="24" customHeight="1" x14ac:dyDescent="0.25">
      <c r="C29" s="100" t="s">
        <v>264</v>
      </c>
      <c r="D29" s="573" t="s">
        <v>465</v>
      </c>
      <c r="E29" s="574"/>
      <c r="F29" s="574"/>
      <c r="G29" s="574"/>
      <c r="H29" s="574"/>
      <c r="I29" s="574"/>
      <c r="J29" s="574"/>
      <c r="K29" s="574"/>
      <c r="L29" s="574"/>
      <c r="M29" s="574"/>
      <c r="N29" s="574"/>
      <c r="O29" s="101" t="s">
        <v>265</v>
      </c>
      <c r="P29" s="101" t="s">
        <v>266</v>
      </c>
      <c r="Q29" s="359"/>
      <c r="R29" s="175"/>
      <c r="S29" s="124"/>
      <c r="T29" s="124"/>
      <c r="U29" s="124"/>
      <c r="V29" s="125"/>
      <c r="W29" s="131"/>
      <c r="X29" s="133"/>
      <c r="Y29" s="132"/>
      <c r="Z29" s="128"/>
      <c r="AA29" s="129"/>
      <c r="AB29" s="129"/>
    </row>
    <row r="30" spans="1:28" ht="66" customHeight="1" x14ac:dyDescent="0.2">
      <c r="A30" s="107" t="s">
        <v>69</v>
      </c>
      <c r="C30" s="102" t="s">
        <v>466</v>
      </c>
      <c r="D30" s="567" t="s">
        <v>467</v>
      </c>
      <c r="E30" s="572"/>
      <c r="F30" s="572"/>
      <c r="G30" s="572"/>
      <c r="H30" s="572"/>
      <c r="I30" s="572"/>
      <c r="J30" s="572"/>
      <c r="K30" s="572"/>
      <c r="L30" s="572"/>
      <c r="M30" s="572"/>
      <c r="N30" s="572"/>
      <c r="O30" s="71"/>
      <c r="P30" s="95" t="str">
        <f t="shared" ref="P30:P31" si="2">IF(O30="","",IF(O30="Yes","Pass",IF(O30="No","Fail","N/A")))</f>
        <v/>
      </c>
      <c r="Q30" s="173"/>
      <c r="R30" s="173"/>
      <c r="S30" s="124"/>
      <c r="T30" s="124"/>
      <c r="U30" s="124"/>
      <c r="V30" s="125"/>
      <c r="W30" s="131"/>
      <c r="X30" s="133"/>
      <c r="Y30" s="132"/>
      <c r="Z30" s="128"/>
      <c r="AA30" s="129"/>
      <c r="AB30" s="129"/>
    </row>
    <row r="31" spans="1:28" ht="33.75" customHeight="1" x14ac:dyDescent="0.2">
      <c r="A31" s="107" t="s">
        <v>73</v>
      </c>
      <c r="B31" s="93"/>
      <c r="C31" s="102" t="s">
        <v>471</v>
      </c>
      <c r="D31" s="579" t="s">
        <v>468</v>
      </c>
      <c r="E31" s="572"/>
      <c r="F31" s="572"/>
      <c r="G31" s="572"/>
      <c r="H31" s="572"/>
      <c r="I31" s="572"/>
      <c r="J31" s="572"/>
      <c r="K31" s="572"/>
      <c r="L31" s="572"/>
      <c r="M31" s="572"/>
      <c r="N31" s="572"/>
      <c r="O31" s="71"/>
      <c r="P31" s="95" t="str">
        <f t="shared" si="2"/>
        <v/>
      </c>
      <c r="Q31" s="173"/>
      <c r="R31" s="173"/>
      <c r="S31" s="124"/>
      <c r="T31" s="124"/>
      <c r="U31" s="124"/>
      <c r="V31" s="125"/>
      <c r="W31" s="131"/>
      <c r="X31" s="133"/>
      <c r="Y31" s="132"/>
      <c r="Z31" s="128"/>
      <c r="AA31" s="129"/>
      <c r="AB31" s="129"/>
    </row>
    <row r="32" spans="1:28" ht="45" customHeight="1" x14ac:dyDescent="0.2">
      <c r="A32" s="107" t="s">
        <v>69</v>
      </c>
      <c r="B32" s="93"/>
      <c r="C32" s="102" t="s">
        <v>472</v>
      </c>
      <c r="D32" s="579" t="s">
        <v>469</v>
      </c>
      <c r="E32" s="572"/>
      <c r="F32" s="572"/>
      <c r="G32" s="572"/>
      <c r="H32" s="572"/>
      <c r="I32" s="572"/>
      <c r="J32" s="572"/>
      <c r="K32" s="572"/>
      <c r="L32" s="572"/>
      <c r="M32" s="572"/>
      <c r="N32" s="572"/>
      <c r="O32" s="71"/>
      <c r="P32" s="95" t="str">
        <f>IF(O32="","",IF(O32="Yes","Pass",IF(O32="No","Fail","N/A")))</f>
        <v/>
      </c>
      <c r="Q32" s="173"/>
      <c r="R32" s="173"/>
      <c r="S32" s="124"/>
      <c r="T32" s="124"/>
      <c r="U32" s="124"/>
      <c r="V32" s="125"/>
      <c r="W32" s="131"/>
      <c r="X32" s="133"/>
      <c r="Y32" s="132"/>
      <c r="Z32" s="128"/>
      <c r="AA32" s="129"/>
      <c r="AB32" s="129"/>
    </row>
    <row r="33" spans="1:28" ht="30" customHeight="1" x14ac:dyDescent="0.2">
      <c r="A33" s="107" t="s">
        <v>70</v>
      </c>
      <c r="B33" s="93"/>
      <c r="C33" s="102" t="s">
        <v>473</v>
      </c>
      <c r="D33" s="579" t="s">
        <v>470</v>
      </c>
      <c r="E33" s="572"/>
      <c r="F33" s="572"/>
      <c r="G33" s="572"/>
      <c r="H33" s="572"/>
      <c r="I33" s="572"/>
      <c r="J33" s="572"/>
      <c r="K33" s="572"/>
      <c r="L33" s="572"/>
      <c r="M33" s="572"/>
      <c r="N33" s="572"/>
      <c r="O33" s="71"/>
      <c r="P33" s="95" t="str">
        <f>IF(O33="","",IF(O33="Yes","Pass",IF(O33="No","Fail","N/A")))</f>
        <v/>
      </c>
      <c r="Q33" s="173"/>
      <c r="R33" s="173"/>
      <c r="S33" s="124"/>
      <c r="T33" s="124"/>
      <c r="U33" s="124"/>
      <c r="V33" s="125"/>
      <c r="W33" s="131"/>
      <c r="X33" s="133"/>
      <c r="Y33" s="132"/>
      <c r="Z33" s="128"/>
      <c r="AA33" s="129"/>
      <c r="AB33" s="129"/>
    </row>
    <row r="34" spans="1:28" ht="24" customHeight="1" x14ac:dyDescent="0.2">
      <c r="A34" s="107" t="s">
        <v>69</v>
      </c>
      <c r="B34" s="93"/>
      <c r="C34" s="580" t="s">
        <v>545</v>
      </c>
      <c r="D34" s="470"/>
      <c r="E34" s="470"/>
      <c r="F34" s="470"/>
      <c r="G34" s="470"/>
      <c r="H34" s="470"/>
      <c r="I34" s="470"/>
      <c r="J34" s="470"/>
      <c r="K34" s="470"/>
      <c r="L34" s="470"/>
      <c r="M34" s="470"/>
      <c r="N34" s="470"/>
      <c r="O34" s="341"/>
      <c r="Q34" s="359"/>
      <c r="S34" s="124"/>
      <c r="T34" s="124"/>
      <c r="U34" s="124"/>
      <c r="V34" s="125"/>
      <c r="W34" s="131"/>
      <c r="X34" s="133"/>
      <c r="Y34" s="132"/>
      <c r="Z34" s="128"/>
      <c r="AA34" s="129"/>
      <c r="AB34" s="129"/>
    </row>
    <row r="35" spans="1:28" ht="27.75" customHeight="1" x14ac:dyDescent="0.2">
      <c r="A35" s="107" t="s">
        <v>69</v>
      </c>
      <c r="B35" s="93"/>
      <c r="C35" s="581" t="s">
        <v>17</v>
      </c>
      <c r="D35" s="470"/>
      <c r="E35" s="470"/>
      <c r="F35" s="470"/>
      <c r="G35" s="470"/>
      <c r="H35" s="470"/>
      <c r="I35" s="470"/>
      <c r="J35" s="470"/>
      <c r="K35" s="470"/>
      <c r="L35" s="470"/>
      <c r="M35" s="470"/>
      <c r="N35" s="470"/>
      <c r="O35" s="345"/>
      <c r="Q35" s="173"/>
      <c r="R35"/>
      <c r="U35"/>
      <c r="V35"/>
      <c r="W35"/>
      <c r="X35"/>
      <c r="Y35"/>
      <c r="Z35"/>
      <c r="AA35"/>
      <c r="AB35"/>
    </row>
    <row r="36" spans="1:28" ht="24.75" customHeight="1" x14ac:dyDescent="0.25">
      <c r="A36" s="107" t="s">
        <v>70</v>
      </c>
      <c r="B36" s="93"/>
      <c r="C36" s="100" t="s">
        <v>264</v>
      </c>
      <c r="D36" s="573" t="s">
        <v>72</v>
      </c>
      <c r="E36" s="574"/>
      <c r="F36" s="574"/>
      <c r="G36" s="574"/>
      <c r="H36" s="574"/>
      <c r="I36" s="574"/>
      <c r="J36" s="574"/>
      <c r="K36" s="574"/>
      <c r="L36" s="574"/>
      <c r="M36" s="574"/>
      <c r="N36" s="440"/>
      <c r="O36" s="101" t="s">
        <v>265</v>
      </c>
      <c r="P36" s="101" t="s">
        <v>266</v>
      </c>
      <c r="Q36" s="173"/>
      <c r="R36"/>
      <c r="U36"/>
      <c r="V36"/>
      <c r="W36"/>
      <c r="X36"/>
      <c r="Y36"/>
      <c r="Z36"/>
      <c r="AA36"/>
      <c r="AB36"/>
    </row>
    <row r="37" spans="1:28" ht="31.5" customHeight="1" x14ac:dyDescent="0.2">
      <c r="A37" s="107" t="s">
        <v>73</v>
      </c>
      <c r="B37" s="93"/>
      <c r="C37" s="103" t="s">
        <v>220</v>
      </c>
      <c r="D37" s="445" t="s">
        <v>544</v>
      </c>
      <c r="E37" s="568"/>
      <c r="F37" s="568"/>
      <c r="G37" s="568"/>
      <c r="H37" s="568"/>
      <c r="I37" s="568"/>
      <c r="J37" s="568"/>
      <c r="K37" s="568"/>
      <c r="L37" s="568"/>
      <c r="M37" s="568"/>
      <c r="N37" s="569"/>
      <c r="O37" s="71"/>
      <c r="P37" s="95" t="str">
        <f>IF(O37="","",IF(O37="Yes","Pass",IF(O37="No","Fail","N/A")))</f>
        <v/>
      </c>
      <c r="Q37" s="173"/>
      <c r="R37"/>
      <c r="U37"/>
      <c r="V37"/>
      <c r="W37"/>
      <c r="X37"/>
      <c r="Y37"/>
      <c r="Z37"/>
      <c r="AA37"/>
      <c r="AB37"/>
    </row>
    <row r="38" spans="1:28" ht="30" customHeight="1" x14ac:dyDescent="0.2">
      <c r="A38" s="107" t="s">
        <v>70</v>
      </c>
      <c r="B38" s="93"/>
      <c r="C38" s="185"/>
      <c r="D38" s="296" t="s">
        <v>351</v>
      </c>
      <c r="E38" s="297"/>
      <c r="F38" s="298"/>
      <c r="G38" s="299"/>
      <c r="I38" s="300" t="s">
        <v>352</v>
      </c>
      <c r="J38" s="299"/>
      <c r="K38" s="301" t="s">
        <v>353</v>
      </c>
      <c r="L38" s="191"/>
      <c r="M38" s="302"/>
      <c r="N38" s="303" t="e">
        <f>J38/G38</f>
        <v>#DIV/0!</v>
      </c>
      <c r="Q38" s="173"/>
      <c r="R38"/>
      <c r="U38"/>
      <c r="V38"/>
      <c r="W38"/>
      <c r="X38"/>
      <c r="Y38"/>
      <c r="Z38"/>
      <c r="AA38"/>
      <c r="AB38"/>
    </row>
    <row r="39" spans="1:28" ht="38.25" customHeight="1" x14ac:dyDescent="0.2">
      <c r="A39" s="107" t="s">
        <v>73</v>
      </c>
      <c r="B39" s="93"/>
      <c r="C39" s="97" t="s">
        <v>133</v>
      </c>
      <c r="D39" s="579" t="s">
        <v>645</v>
      </c>
      <c r="E39" s="572"/>
      <c r="F39" s="572"/>
      <c r="G39" s="572"/>
      <c r="H39" s="572"/>
      <c r="I39" s="572"/>
      <c r="J39" s="572"/>
      <c r="K39" s="572"/>
      <c r="L39" s="572"/>
      <c r="M39" s="572"/>
      <c r="N39" s="572"/>
      <c r="O39" s="71"/>
      <c r="P39" s="95" t="str">
        <f t="shared" ref="P39:P49" si="3">IF(O39="","",IF(O39="Yes","Pass",IF(O39="No","Fail","N/A")))</f>
        <v/>
      </c>
      <c r="Q39" s="173"/>
      <c r="R39"/>
      <c r="U39"/>
      <c r="V39"/>
      <c r="W39"/>
      <c r="X39"/>
      <c r="Y39"/>
      <c r="Z39"/>
      <c r="AA39"/>
      <c r="AB39"/>
    </row>
    <row r="40" spans="1:28" ht="30" customHeight="1" x14ac:dyDescent="0.2">
      <c r="A40" s="107" t="s">
        <v>70</v>
      </c>
      <c r="B40" s="93"/>
      <c r="C40" s="97" t="s">
        <v>221</v>
      </c>
      <c r="D40" s="579" t="s">
        <v>536</v>
      </c>
      <c r="E40" s="470"/>
      <c r="F40" s="470"/>
      <c r="G40" s="470"/>
      <c r="H40" s="470"/>
      <c r="I40" s="470"/>
      <c r="J40" s="470"/>
      <c r="K40" s="470"/>
      <c r="L40" s="470"/>
      <c r="M40" s="470"/>
      <c r="N40" s="470"/>
      <c r="O40" s="71"/>
      <c r="P40" s="95" t="str">
        <f t="shared" si="3"/>
        <v/>
      </c>
      <c r="Q40" s="173"/>
      <c r="R40"/>
      <c r="U40"/>
      <c r="V40"/>
      <c r="W40"/>
      <c r="X40"/>
      <c r="Y40"/>
      <c r="Z40"/>
      <c r="AA40"/>
      <c r="AB40"/>
    </row>
    <row r="41" spans="1:28" ht="41.25" customHeight="1" x14ac:dyDescent="0.2">
      <c r="A41" s="107">
        <v>1</v>
      </c>
      <c r="B41" s="93"/>
      <c r="C41" s="103" t="s">
        <v>222</v>
      </c>
      <c r="D41" s="445" t="s">
        <v>537</v>
      </c>
      <c r="E41" s="568"/>
      <c r="F41" s="568"/>
      <c r="G41" s="568"/>
      <c r="H41" s="568"/>
      <c r="I41" s="568"/>
      <c r="J41" s="568"/>
      <c r="K41" s="568"/>
      <c r="L41" s="568"/>
      <c r="M41" s="568"/>
      <c r="N41" s="569"/>
      <c r="O41" s="71"/>
      <c r="P41" s="95" t="str">
        <f t="shared" si="3"/>
        <v/>
      </c>
      <c r="Q41" s="173"/>
      <c r="R41"/>
      <c r="U41"/>
      <c r="V41"/>
      <c r="W41"/>
      <c r="X41"/>
      <c r="Y41"/>
      <c r="Z41"/>
      <c r="AA41"/>
      <c r="AB41"/>
    </row>
    <row r="42" spans="1:28" ht="34.5" customHeight="1" x14ac:dyDescent="0.2">
      <c r="A42" s="107"/>
      <c r="B42" s="93"/>
      <c r="C42" s="97" t="s">
        <v>223</v>
      </c>
      <c r="D42" s="445" t="s">
        <v>538</v>
      </c>
      <c r="E42" s="568"/>
      <c r="F42" s="568"/>
      <c r="G42" s="568"/>
      <c r="H42" s="568"/>
      <c r="I42" s="568"/>
      <c r="J42" s="568"/>
      <c r="K42" s="568"/>
      <c r="L42" s="568"/>
      <c r="M42" s="568"/>
      <c r="N42" s="569"/>
      <c r="O42" s="71"/>
      <c r="P42" s="95" t="str">
        <f t="shared" si="3"/>
        <v/>
      </c>
      <c r="Q42" s="173"/>
      <c r="R42"/>
      <c r="U42"/>
      <c r="V42"/>
      <c r="W42"/>
      <c r="X42"/>
      <c r="Y42"/>
      <c r="Z42"/>
      <c r="AA42"/>
      <c r="AB42"/>
    </row>
    <row r="43" spans="1:28" ht="33" customHeight="1" x14ac:dyDescent="0.2">
      <c r="A43" s="106">
        <v>1</v>
      </c>
      <c r="B43" s="93"/>
      <c r="C43" s="97" t="s">
        <v>224</v>
      </c>
      <c r="D43" s="445" t="s">
        <v>273</v>
      </c>
      <c r="E43" s="568"/>
      <c r="F43" s="568"/>
      <c r="G43" s="568"/>
      <c r="H43" s="568"/>
      <c r="I43" s="568"/>
      <c r="J43" s="568"/>
      <c r="K43" s="568"/>
      <c r="L43" s="568"/>
      <c r="M43" s="568"/>
      <c r="N43" s="569"/>
      <c r="O43" s="71"/>
      <c r="P43" s="95" t="str">
        <f t="shared" si="3"/>
        <v/>
      </c>
      <c r="Q43" s="173"/>
      <c r="R43"/>
      <c r="U43"/>
      <c r="V43"/>
      <c r="W43"/>
      <c r="X43"/>
      <c r="Y43"/>
      <c r="Z43"/>
      <c r="AA43"/>
      <c r="AB43"/>
    </row>
    <row r="44" spans="1:28" ht="35.25" customHeight="1" x14ac:dyDescent="0.2">
      <c r="A44" s="107" t="s">
        <v>73</v>
      </c>
      <c r="C44" s="103" t="s">
        <v>225</v>
      </c>
      <c r="D44" s="567" t="s">
        <v>274</v>
      </c>
      <c r="E44" s="470"/>
      <c r="F44" s="470"/>
      <c r="G44" s="470"/>
      <c r="H44" s="470"/>
      <c r="I44" s="470"/>
      <c r="J44" s="470"/>
      <c r="K44" s="470"/>
      <c r="L44" s="470"/>
      <c r="M44" s="470"/>
      <c r="N44" s="470"/>
      <c r="O44" s="71"/>
      <c r="P44" s="95" t="str">
        <f t="shared" si="3"/>
        <v/>
      </c>
      <c r="Q44" s="173"/>
      <c r="R44"/>
      <c r="U44"/>
      <c r="V44"/>
      <c r="W44"/>
      <c r="X44"/>
      <c r="Y44"/>
      <c r="Z44"/>
      <c r="AA44"/>
      <c r="AB44"/>
    </row>
    <row r="45" spans="1:28" ht="35.25" customHeight="1" x14ac:dyDescent="0.2">
      <c r="B45" s="93"/>
      <c r="C45" s="97" t="s">
        <v>226</v>
      </c>
      <c r="D45" s="445" t="s">
        <v>275</v>
      </c>
      <c r="E45" s="568"/>
      <c r="F45" s="568"/>
      <c r="G45" s="568"/>
      <c r="H45" s="568"/>
      <c r="I45" s="568"/>
      <c r="J45" s="568"/>
      <c r="K45" s="568"/>
      <c r="L45" s="568"/>
      <c r="M45" s="568"/>
      <c r="N45" s="569"/>
      <c r="O45" s="71"/>
      <c r="P45" s="95" t="str">
        <f t="shared" si="3"/>
        <v/>
      </c>
      <c r="Q45" s="173"/>
      <c r="R45"/>
      <c r="U45"/>
      <c r="V45"/>
      <c r="W45"/>
      <c r="X45"/>
      <c r="Y45"/>
      <c r="Z45"/>
      <c r="AA45"/>
      <c r="AB45"/>
    </row>
    <row r="46" spans="1:28" ht="18" customHeight="1" x14ac:dyDescent="0.2">
      <c r="C46" s="97" t="s">
        <v>227</v>
      </c>
      <c r="D46" s="445" t="s">
        <v>276</v>
      </c>
      <c r="E46" s="570"/>
      <c r="F46" s="570"/>
      <c r="G46" s="570"/>
      <c r="H46" s="570"/>
      <c r="I46" s="570"/>
      <c r="J46" s="570"/>
      <c r="K46" s="570"/>
      <c r="L46" s="570"/>
      <c r="M46" s="570"/>
      <c r="N46" s="570"/>
      <c r="O46" s="71"/>
      <c r="P46" s="95" t="str">
        <f t="shared" si="3"/>
        <v/>
      </c>
      <c r="Q46" s="173"/>
      <c r="R46"/>
      <c r="U46"/>
      <c r="V46"/>
      <c r="W46"/>
      <c r="X46"/>
      <c r="Y46"/>
      <c r="Z46"/>
      <c r="AA46"/>
      <c r="AB46"/>
    </row>
    <row r="47" spans="1:28" ht="35.25" customHeight="1" x14ac:dyDescent="0.2">
      <c r="A47" s="106">
        <v>1</v>
      </c>
      <c r="C47" s="103" t="s">
        <v>228</v>
      </c>
      <c r="D47" s="445" t="s">
        <v>277</v>
      </c>
      <c r="E47" s="568"/>
      <c r="F47" s="568"/>
      <c r="G47" s="568"/>
      <c r="H47" s="568"/>
      <c r="I47" s="568"/>
      <c r="J47" s="568"/>
      <c r="K47" s="568"/>
      <c r="L47" s="568"/>
      <c r="M47" s="568"/>
      <c r="N47" s="569"/>
      <c r="O47" s="71"/>
      <c r="P47" s="95" t="str">
        <f t="shared" si="3"/>
        <v/>
      </c>
      <c r="R47"/>
      <c r="U47"/>
      <c r="V47"/>
      <c r="W47"/>
      <c r="X47"/>
      <c r="Y47"/>
      <c r="Z47"/>
      <c r="AA47"/>
      <c r="AB47"/>
    </row>
    <row r="48" spans="1:28" ht="57.75" customHeight="1" x14ac:dyDescent="0.2">
      <c r="A48" s="107" t="s">
        <v>69</v>
      </c>
      <c r="C48" s="97" t="s">
        <v>229</v>
      </c>
      <c r="D48" s="565" t="s">
        <v>539</v>
      </c>
      <c r="E48" s="566"/>
      <c r="F48" s="566"/>
      <c r="G48" s="566"/>
      <c r="H48" s="566"/>
      <c r="I48" s="566"/>
      <c r="J48" s="566"/>
      <c r="K48" s="566"/>
      <c r="L48" s="566"/>
      <c r="M48" s="566"/>
      <c r="N48" s="566"/>
      <c r="O48" s="71"/>
      <c r="P48" s="95" t="str">
        <f t="shared" si="3"/>
        <v/>
      </c>
      <c r="Q48" s="171"/>
      <c r="R48"/>
      <c r="U48"/>
      <c r="V48"/>
      <c r="W48"/>
      <c r="X48"/>
      <c r="Y48"/>
      <c r="Z48"/>
      <c r="AA48"/>
      <c r="AB48"/>
    </row>
    <row r="49" spans="1:28" ht="39" customHeight="1" x14ac:dyDescent="0.2">
      <c r="A49" s="106">
        <v>1</v>
      </c>
      <c r="B49" s="93"/>
      <c r="C49" s="97" t="s">
        <v>230</v>
      </c>
      <c r="D49" s="567" t="s">
        <v>540</v>
      </c>
      <c r="E49" s="470"/>
      <c r="F49" s="470"/>
      <c r="G49" s="470"/>
      <c r="H49" s="470"/>
      <c r="I49" s="470"/>
      <c r="J49" s="470"/>
      <c r="K49" s="470"/>
      <c r="L49" s="470"/>
      <c r="M49" s="470"/>
      <c r="N49" s="471"/>
      <c r="O49" s="71"/>
      <c r="P49" s="95" t="str">
        <f t="shared" si="3"/>
        <v/>
      </c>
      <c r="Q49" s="123"/>
      <c r="R49"/>
      <c r="U49"/>
      <c r="V49"/>
      <c r="W49"/>
      <c r="X49"/>
      <c r="Y49"/>
      <c r="Z49"/>
      <c r="AA49"/>
      <c r="AB49"/>
    </row>
    <row r="50" spans="1:28" ht="19.5" customHeight="1" x14ac:dyDescent="0.2">
      <c r="A50" s="107" t="s">
        <v>73</v>
      </c>
      <c r="C50" s="580" t="s">
        <v>278</v>
      </c>
      <c r="D50" s="470"/>
      <c r="E50" s="470"/>
      <c r="F50" s="470"/>
      <c r="G50" s="470"/>
      <c r="H50" s="470"/>
      <c r="I50" s="470"/>
      <c r="J50" s="470"/>
      <c r="K50" s="470"/>
      <c r="L50" s="470"/>
      <c r="M50" s="470"/>
      <c r="N50" s="470"/>
      <c r="O50" s="347"/>
      <c r="P50" s="344"/>
      <c r="Q50" s="99"/>
      <c r="R50"/>
      <c r="U50"/>
      <c r="V50"/>
      <c r="W50"/>
      <c r="X50"/>
      <c r="Y50"/>
      <c r="Z50"/>
      <c r="AA50"/>
      <c r="AB50"/>
    </row>
    <row r="51" spans="1:28" ht="25.5" customHeight="1" x14ac:dyDescent="0.2">
      <c r="A51" s="107" t="s">
        <v>69</v>
      </c>
      <c r="B51" s="93"/>
      <c r="C51" s="581" t="s">
        <v>17</v>
      </c>
      <c r="D51" s="470"/>
      <c r="E51" s="470"/>
      <c r="F51" s="470"/>
      <c r="G51" s="470"/>
      <c r="H51" s="470"/>
      <c r="I51" s="470"/>
      <c r="J51" s="470"/>
      <c r="K51" s="470"/>
      <c r="L51" s="470"/>
      <c r="M51" s="470"/>
      <c r="N51" s="470"/>
      <c r="O51" s="345"/>
      <c r="Q51" s="359"/>
      <c r="R51"/>
      <c r="U51"/>
      <c r="V51"/>
      <c r="W51"/>
      <c r="X51"/>
      <c r="Y51"/>
      <c r="Z51"/>
      <c r="AA51"/>
      <c r="AB51"/>
    </row>
    <row r="52" spans="1:28" ht="21.75" customHeight="1" x14ac:dyDescent="0.25">
      <c r="A52" s="106">
        <v>1</v>
      </c>
      <c r="B52" s="93"/>
      <c r="C52" s="100" t="s">
        <v>264</v>
      </c>
      <c r="D52" s="576" t="s">
        <v>74</v>
      </c>
      <c r="E52" s="577"/>
      <c r="F52" s="577"/>
      <c r="G52" s="577"/>
      <c r="H52" s="577"/>
      <c r="I52" s="577"/>
      <c r="J52" s="577"/>
      <c r="K52" s="577"/>
      <c r="L52" s="577"/>
      <c r="M52" s="577"/>
      <c r="N52" s="578"/>
      <c r="O52" s="101" t="s">
        <v>265</v>
      </c>
      <c r="P52" s="101" t="s">
        <v>266</v>
      </c>
      <c r="Q52" s="173"/>
      <c r="R52"/>
      <c r="U52"/>
      <c r="V52"/>
      <c r="W52"/>
      <c r="X52"/>
      <c r="Y52"/>
      <c r="Z52"/>
      <c r="AA52"/>
      <c r="AB52"/>
    </row>
    <row r="53" spans="1:28" ht="34.5" customHeight="1" x14ac:dyDescent="0.2">
      <c r="A53" s="106">
        <v>1</v>
      </c>
      <c r="C53" s="94" t="s">
        <v>232</v>
      </c>
      <c r="D53" s="601" t="s">
        <v>279</v>
      </c>
      <c r="E53" s="595"/>
      <c r="F53" s="595"/>
      <c r="G53" s="595"/>
      <c r="H53" s="595"/>
      <c r="I53" s="595"/>
      <c r="J53" s="595"/>
      <c r="K53" s="595"/>
      <c r="L53" s="595"/>
      <c r="M53" s="595"/>
      <c r="N53" s="595"/>
      <c r="O53" s="71"/>
      <c r="P53" s="95" t="str">
        <f t="shared" ref="P53:P60" si="4">IF(O53="","",IF(O53="Yes","Pass",IF(O53="No","Fail","N/A")))</f>
        <v/>
      </c>
      <c r="Q53" s="173"/>
      <c r="R53"/>
      <c r="U53"/>
      <c r="V53"/>
      <c r="W53"/>
      <c r="X53"/>
      <c r="Y53"/>
      <c r="Z53"/>
      <c r="AA53"/>
      <c r="AB53"/>
    </row>
    <row r="54" spans="1:28" ht="60.75" customHeight="1" x14ac:dyDescent="0.2">
      <c r="A54" s="106">
        <v>1</v>
      </c>
      <c r="C54" s="94" t="s">
        <v>233</v>
      </c>
      <c r="D54" s="601" t="s">
        <v>457</v>
      </c>
      <c r="E54" s="605"/>
      <c r="F54" s="605"/>
      <c r="G54" s="605"/>
      <c r="H54" s="605"/>
      <c r="I54" s="605"/>
      <c r="J54" s="605"/>
      <c r="K54" s="605"/>
      <c r="L54" s="605"/>
      <c r="M54" s="605"/>
      <c r="N54" s="606"/>
      <c r="O54" s="71"/>
      <c r="P54" s="95" t="str">
        <f t="shared" si="4"/>
        <v/>
      </c>
      <c r="Q54" s="173"/>
      <c r="R54"/>
      <c r="U54"/>
      <c r="V54"/>
      <c r="W54"/>
      <c r="X54"/>
      <c r="Y54"/>
      <c r="Z54"/>
      <c r="AA54"/>
      <c r="AB54"/>
    </row>
    <row r="55" spans="1:28" ht="38.25" customHeight="1" x14ac:dyDescent="0.2">
      <c r="A55" s="106">
        <v>1</v>
      </c>
      <c r="B55" s="107" t="s">
        <v>70</v>
      </c>
      <c r="C55" s="94" t="s">
        <v>458</v>
      </c>
      <c r="D55" s="602" t="s">
        <v>454</v>
      </c>
      <c r="E55" s="603"/>
      <c r="F55" s="603"/>
      <c r="G55" s="603"/>
      <c r="H55" s="603"/>
      <c r="I55" s="603"/>
      <c r="J55" s="603"/>
      <c r="K55" s="603"/>
      <c r="L55" s="603"/>
      <c r="M55" s="603"/>
      <c r="N55" s="604"/>
      <c r="O55" s="71"/>
      <c r="P55" s="95" t="str">
        <f t="shared" si="4"/>
        <v/>
      </c>
      <c r="Q55" s="173"/>
      <c r="R55"/>
      <c r="U55"/>
      <c r="V55"/>
      <c r="W55"/>
      <c r="X55"/>
      <c r="Y55"/>
      <c r="Z55"/>
      <c r="AA55"/>
      <c r="AB55"/>
    </row>
    <row r="56" spans="1:28" ht="68.25" customHeight="1" x14ac:dyDescent="0.2">
      <c r="A56" s="107" t="s">
        <v>73</v>
      </c>
      <c r="C56" s="94" t="s">
        <v>234</v>
      </c>
      <c r="D56" s="594" t="s">
        <v>541</v>
      </c>
      <c r="E56" s="595"/>
      <c r="F56" s="595"/>
      <c r="G56" s="595"/>
      <c r="H56" s="595"/>
      <c r="I56" s="595"/>
      <c r="J56" s="595"/>
      <c r="K56" s="595"/>
      <c r="L56" s="595"/>
      <c r="M56" s="595"/>
      <c r="N56" s="596"/>
      <c r="O56" s="71"/>
      <c r="P56" s="95" t="str">
        <f t="shared" si="4"/>
        <v/>
      </c>
      <c r="Q56" s="173"/>
      <c r="R56"/>
      <c r="U56"/>
      <c r="V56"/>
      <c r="W56"/>
      <c r="X56"/>
      <c r="Y56"/>
      <c r="Z56"/>
      <c r="AA56"/>
      <c r="AB56"/>
    </row>
    <row r="57" spans="1:28" ht="31.5" customHeight="1" x14ac:dyDescent="0.2">
      <c r="B57" s="93"/>
      <c r="C57" s="94" t="s">
        <v>235</v>
      </c>
      <c r="D57" s="602" t="s">
        <v>459</v>
      </c>
      <c r="E57" s="603"/>
      <c r="F57" s="603"/>
      <c r="G57" s="603"/>
      <c r="H57" s="603"/>
      <c r="I57" s="603"/>
      <c r="J57" s="603"/>
      <c r="K57" s="603"/>
      <c r="L57" s="603"/>
      <c r="M57" s="603"/>
      <c r="N57" s="604"/>
      <c r="O57" s="71"/>
      <c r="P57" s="95" t="str">
        <f t="shared" si="4"/>
        <v/>
      </c>
      <c r="Q57" s="173"/>
      <c r="R57"/>
      <c r="U57"/>
      <c r="V57"/>
      <c r="W57"/>
      <c r="X57"/>
      <c r="Y57"/>
      <c r="Z57"/>
      <c r="AA57"/>
      <c r="AB57"/>
    </row>
    <row r="58" spans="1:28" ht="40.5" customHeight="1" x14ac:dyDescent="0.2">
      <c r="C58" s="104" t="s">
        <v>460</v>
      </c>
      <c r="D58" s="597" t="s">
        <v>455</v>
      </c>
      <c r="E58" s="595"/>
      <c r="F58" s="595"/>
      <c r="G58" s="595"/>
      <c r="H58" s="595"/>
      <c r="I58" s="595"/>
      <c r="J58" s="595"/>
      <c r="K58" s="595"/>
      <c r="L58" s="595"/>
      <c r="M58" s="595"/>
      <c r="N58" s="596"/>
      <c r="O58" s="71"/>
      <c r="P58" s="95" t="str">
        <f t="shared" si="4"/>
        <v/>
      </c>
      <c r="Q58" s="173"/>
      <c r="R58"/>
      <c r="U58"/>
      <c r="V58"/>
      <c r="W58"/>
      <c r="X58"/>
      <c r="Y58"/>
      <c r="Z58"/>
      <c r="AA58"/>
      <c r="AB58"/>
    </row>
    <row r="59" spans="1:28" ht="30" customHeight="1" x14ac:dyDescent="0.2">
      <c r="A59" s="107" t="s">
        <v>70</v>
      </c>
      <c r="C59" s="104" t="s">
        <v>236</v>
      </c>
      <c r="D59" s="598" t="s">
        <v>456</v>
      </c>
      <c r="E59" s="599"/>
      <c r="F59" s="599"/>
      <c r="G59" s="599"/>
      <c r="H59" s="599"/>
      <c r="I59" s="599"/>
      <c r="J59" s="599"/>
      <c r="K59" s="599"/>
      <c r="L59" s="599"/>
      <c r="M59" s="599"/>
      <c r="N59" s="600"/>
      <c r="O59" s="71"/>
      <c r="P59" s="95" t="str">
        <f t="shared" si="4"/>
        <v/>
      </c>
      <c r="Q59" s="173"/>
      <c r="R59"/>
      <c r="U59"/>
      <c r="V59"/>
      <c r="W59"/>
      <c r="X59"/>
      <c r="Y59"/>
      <c r="Z59"/>
      <c r="AA59"/>
      <c r="AB59"/>
    </row>
    <row r="60" spans="1:28" ht="30" customHeight="1" x14ac:dyDescent="0.2">
      <c r="A60" s="107" t="s">
        <v>70</v>
      </c>
      <c r="B60" s="93"/>
      <c r="C60" s="104" t="s">
        <v>237</v>
      </c>
      <c r="D60" s="598" t="s">
        <v>280</v>
      </c>
      <c r="E60" s="599"/>
      <c r="F60" s="599"/>
      <c r="G60" s="599"/>
      <c r="H60" s="599"/>
      <c r="I60" s="599"/>
      <c r="J60" s="599"/>
      <c r="K60" s="599"/>
      <c r="L60" s="599"/>
      <c r="M60" s="599"/>
      <c r="N60" s="600"/>
      <c r="O60" s="71"/>
      <c r="P60" s="95" t="str">
        <f t="shared" si="4"/>
        <v/>
      </c>
      <c r="Q60" s="171"/>
      <c r="R60"/>
      <c r="U60"/>
      <c r="V60"/>
      <c r="W60"/>
      <c r="X60"/>
      <c r="Y60"/>
      <c r="Z60"/>
      <c r="AA60"/>
      <c r="AB60"/>
    </row>
    <row r="61" spans="1:28" ht="22.5" customHeight="1" x14ac:dyDescent="0.2">
      <c r="A61" s="107" t="s">
        <v>69</v>
      </c>
      <c r="B61" s="107" t="s">
        <v>69</v>
      </c>
      <c r="C61" s="580" t="s">
        <v>281</v>
      </c>
      <c r="D61" s="470"/>
      <c r="E61" s="470"/>
      <c r="F61" s="470"/>
      <c r="G61" s="470"/>
      <c r="H61" s="470"/>
      <c r="I61" s="470"/>
      <c r="J61" s="470"/>
      <c r="K61" s="470"/>
      <c r="L61" s="470"/>
      <c r="M61" s="470"/>
      <c r="N61" s="470"/>
      <c r="O61" s="347"/>
      <c r="P61" s="345"/>
      <c r="Q61" s="172"/>
      <c r="R61"/>
      <c r="U61"/>
      <c r="V61"/>
      <c r="W61"/>
      <c r="X61"/>
      <c r="Y61"/>
      <c r="Z61"/>
      <c r="AA61"/>
      <c r="AB61"/>
    </row>
    <row r="62" spans="1:28" ht="28.5" customHeight="1" x14ac:dyDescent="0.2">
      <c r="A62" s="107"/>
      <c r="B62" s="147"/>
      <c r="C62" s="581" t="s">
        <v>17</v>
      </c>
      <c r="D62" s="470"/>
      <c r="E62" s="470"/>
      <c r="F62" s="470"/>
      <c r="G62" s="470"/>
      <c r="H62" s="470"/>
      <c r="I62" s="470"/>
      <c r="J62" s="470"/>
      <c r="K62" s="470"/>
      <c r="L62" s="470"/>
      <c r="M62" s="470"/>
      <c r="N62" s="470"/>
      <c r="O62" s="345"/>
      <c r="Q62" s="171"/>
      <c r="R62"/>
      <c r="U62"/>
      <c r="V62"/>
      <c r="W62"/>
      <c r="X62"/>
      <c r="Y62"/>
      <c r="Z62"/>
      <c r="AA62"/>
      <c r="AB62"/>
    </row>
    <row r="63" spans="1:28" ht="30" customHeight="1" x14ac:dyDescent="0.25">
      <c r="A63" s="107" t="s">
        <v>70</v>
      </c>
      <c r="B63" s="93"/>
      <c r="C63" s="100" t="s">
        <v>264</v>
      </c>
      <c r="D63" s="573" t="s">
        <v>75</v>
      </c>
      <c r="E63" s="574"/>
      <c r="F63" s="574"/>
      <c r="G63" s="574"/>
      <c r="H63" s="574"/>
      <c r="I63" s="574"/>
      <c r="J63" s="574"/>
      <c r="K63" s="574"/>
      <c r="L63" s="574"/>
      <c r="M63" s="574"/>
      <c r="N63" s="440"/>
      <c r="O63" s="101" t="s">
        <v>265</v>
      </c>
      <c r="P63" s="101" t="s">
        <v>266</v>
      </c>
      <c r="Q63" s="359"/>
      <c r="R63"/>
      <c r="U63"/>
      <c r="V63"/>
      <c r="W63"/>
      <c r="X63"/>
      <c r="Y63"/>
      <c r="Z63"/>
      <c r="AA63"/>
      <c r="AB63"/>
    </row>
    <row r="64" spans="1:28" ht="30" customHeight="1" x14ac:dyDescent="0.2">
      <c r="A64" s="107" t="s">
        <v>70</v>
      </c>
      <c r="B64" s="93"/>
      <c r="C64" s="94" t="s">
        <v>239</v>
      </c>
      <c r="D64" s="567" t="s">
        <v>461</v>
      </c>
      <c r="E64" s="470"/>
      <c r="F64" s="470"/>
      <c r="G64" s="470"/>
      <c r="H64" s="470"/>
      <c r="I64" s="470"/>
      <c r="J64" s="470"/>
      <c r="K64" s="470"/>
      <c r="L64" s="470"/>
      <c r="M64" s="470"/>
      <c r="N64" s="471"/>
      <c r="O64" s="71"/>
      <c r="P64" s="95" t="str">
        <f t="shared" ref="P64:P69" si="5">IF(O64="","",IF(O64="Yes","Pass",IF(O64="No","Fail","N/A")))</f>
        <v/>
      </c>
      <c r="Q64" s="173"/>
      <c r="R64"/>
      <c r="U64"/>
      <c r="V64"/>
      <c r="W64"/>
      <c r="X64"/>
      <c r="Y64"/>
      <c r="Z64"/>
      <c r="AA64"/>
      <c r="AB64"/>
    </row>
    <row r="65" spans="1:28" ht="33.75" customHeight="1" x14ac:dyDescent="0.2">
      <c r="A65" s="107" t="s">
        <v>76</v>
      </c>
      <c r="B65" s="93"/>
      <c r="C65" s="94" t="s">
        <v>240</v>
      </c>
      <c r="D65" s="567" t="s">
        <v>282</v>
      </c>
      <c r="E65" s="470"/>
      <c r="F65" s="470"/>
      <c r="G65" s="470"/>
      <c r="H65" s="470"/>
      <c r="I65" s="470"/>
      <c r="J65" s="470"/>
      <c r="K65" s="470"/>
      <c r="L65" s="470"/>
      <c r="M65" s="470"/>
      <c r="N65" s="471"/>
      <c r="O65" s="71"/>
      <c r="P65" s="95" t="str">
        <f t="shared" si="5"/>
        <v/>
      </c>
      <c r="Q65" s="173"/>
      <c r="R65"/>
      <c r="U65"/>
      <c r="V65"/>
      <c r="W65"/>
      <c r="X65"/>
      <c r="Y65"/>
      <c r="Z65"/>
      <c r="AA65"/>
      <c r="AB65"/>
    </row>
    <row r="66" spans="1:28" ht="49.5" customHeight="1" x14ac:dyDescent="0.2">
      <c r="A66" s="106">
        <v>1</v>
      </c>
      <c r="B66" s="93"/>
      <c r="C66" s="94" t="s">
        <v>241</v>
      </c>
      <c r="D66" s="567" t="s">
        <v>462</v>
      </c>
      <c r="E66" s="470"/>
      <c r="F66" s="470"/>
      <c r="G66" s="470"/>
      <c r="H66" s="470"/>
      <c r="I66" s="470"/>
      <c r="J66" s="470"/>
      <c r="K66" s="470"/>
      <c r="L66" s="470"/>
      <c r="M66" s="470"/>
      <c r="N66" s="471"/>
      <c r="O66" s="71"/>
      <c r="P66" s="95" t="str">
        <f t="shared" si="5"/>
        <v/>
      </c>
      <c r="Q66" s="173"/>
      <c r="R66"/>
      <c r="U66"/>
      <c r="V66"/>
      <c r="W66"/>
      <c r="X66"/>
      <c r="Y66"/>
      <c r="Z66"/>
      <c r="AA66"/>
      <c r="AB66"/>
    </row>
    <row r="67" spans="1:28" ht="35.25" customHeight="1" x14ac:dyDescent="0.2">
      <c r="A67" s="107" t="s">
        <v>73</v>
      </c>
      <c r="C67" s="148" t="s">
        <v>542</v>
      </c>
      <c r="D67" s="593" t="s">
        <v>464</v>
      </c>
      <c r="E67" s="470"/>
      <c r="F67" s="470"/>
      <c r="G67" s="470"/>
      <c r="H67" s="470"/>
      <c r="I67" s="470"/>
      <c r="J67" s="470"/>
      <c r="K67" s="470"/>
      <c r="L67" s="470"/>
      <c r="M67" s="470"/>
      <c r="N67" s="470"/>
      <c r="O67" s="71"/>
      <c r="P67" s="95" t="str">
        <f t="shared" si="5"/>
        <v/>
      </c>
      <c r="Q67" s="173"/>
      <c r="R67"/>
      <c r="U67"/>
      <c r="V67"/>
      <c r="W67"/>
      <c r="X67"/>
      <c r="Y67"/>
      <c r="Z67"/>
      <c r="AA67"/>
      <c r="AB67"/>
    </row>
    <row r="68" spans="1:28" ht="36" customHeight="1" x14ac:dyDescent="0.2">
      <c r="B68" s="93"/>
      <c r="C68" s="94" t="s">
        <v>242</v>
      </c>
      <c r="D68" s="469" t="s">
        <v>546</v>
      </c>
      <c r="E68" s="470"/>
      <c r="F68" s="470"/>
      <c r="G68" s="470"/>
      <c r="H68" s="470"/>
      <c r="I68" s="470"/>
      <c r="J68" s="470"/>
      <c r="K68" s="470"/>
      <c r="L68" s="470"/>
      <c r="M68" s="470"/>
      <c r="N68" s="471"/>
      <c r="O68" s="71"/>
      <c r="P68" s="95" t="str">
        <f t="shared" si="5"/>
        <v/>
      </c>
      <c r="Q68" s="173"/>
      <c r="R68"/>
      <c r="U68"/>
      <c r="V68"/>
      <c r="W68"/>
      <c r="X68"/>
      <c r="Y68"/>
      <c r="Z68"/>
      <c r="AA68"/>
      <c r="AB68"/>
    </row>
    <row r="69" spans="1:28" ht="52.5" customHeight="1" x14ac:dyDescent="0.2">
      <c r="C69" s="94" t="s">
        <v>243</v>
      </c>
      <c r="D69" s="469" t="s">
        <v>547</v>
      </c>
      <c r="E69" s="470"/>
      <c r="F69" s="470"/>
      <c r="G69" s="470"/>
      <c r="H69" s="470"/>
      <c r="I69" s="470"/>
      <c r="J69" s="470"/>
      <c r="K69" s="470"/>
      <c r="L69" s="470"/>
      <c r="M69" s="470"/>
      <c r="N69" s="471"/>
      <c r="O69" s="71"/>
      <c r="P69" s="95" t="str">
        <f t="shared" si="5"/>
        <v/>
      </c>
      <c r="Q69" s="173"/>
      <c r="R69"/>
      <c r="U69"/>
      <c r="V69"/>
      <c r="W69"/>
      <c r="X69"/>
      <c r="Y69"/>
      <c r="Z69"/>
      <c r="AA69"/>
      <c r="AB69"/>
    </row>
    <row r="70" spans="1:28" ht="21" customHeight="1" x14ac:dyDescent="0.25">
      <c r="A70" s="107" t="s">
        <v>70</v>
      </c>
      <c r="C70" s="608" t="s">
        <v>283</v>
      </c>
      <c r="D70" s="486"/>
      <c r="E70" s="486"/>
      <c r="F70" s="486"/>
      <c r="G70" s="486"/>
      <c r="H70" s="486"/>
      <c r="I70" s="486"/>
      <c r="J70" s="486"/>
      <c r="K70" s="486"/>
      <c r="L70" s="486"/>
      <c r="M70" s="486"/>
      <c r="N70" s="486"/>
      <c r="O70" s="348"/>
      <c r="P70" s="342"/>
      <c r="Q70" s="173"/>
      <c r="R70"/>
      <c r="U70"/>
      <c r="V70"/>
      <c r="W70"/>
      <c r="X70"/>
      <c r="Y70"/>
      <c r="Z70"/>
      <c r="AA70"/>
      <c r="AB70"/>
    </row>
    <row r="71" spans="1:28" ht="29.25" customHeight="1" x14ac:dyDescent="0.25">
      <c r="A71" s="107" t="s">
        <v>285</v>
      </c>
      <c r="B71" s="93"/>
      <c r="C71" s="581" t="s">
        <v>17</v>
      </c>
      <c r="D71" s="470"/>
      <c r="E71" s="470"/>
      <c r="F71" s="470"/>
      <c r="G71" s="470"/>
      <c r="H71" s="470"/>
      <c r="I71" s="470"/>
      <c r="J71" s="470"/>
      <c r="K71" s="470"/>
      <c r="L71" s="470"/>
      <c r="M71" s="470"/>
      <c r="N71" s="470"/>
      <c r="O71" s="345"/>
      <c r="Q71" s="352"/>
      <c r="R71"/>
      <c r="U71"/>
      <c r="V71"/>
      <c r="W71"/>
      <c r="X71"/>
      <c r="Y71"/>
      <c r="Z71"/>
      <c r="AA71"/>
      <c r="AB71"/>
    </row>
    <row r="72" spans="1:28" ht="21.75" customHeight="1" x14ac:dyDescent="0.25">
      <c r="A72" s="107" t="s">
        <v>76</v>
      </c>
      <c r="B72" s="107" t="s">
        <v>286</v>
      </c>
      <c r="C72" s="100" t="s">
        <v>264</v>
      </c>
      <c r="D72" s="573" t="s">
        <v>77</v>
      </c>
      <c r="E72" s="574"/>
      <c r="F72" s="574"/>
      <c r="G72" s="574"/>
      <c r="H72" s="574"/>
      <c r="I72" s="574"/>
      <c r="J72" s="574"/>
      <c r="K72" s="574"/>
      <c r="L72" s="574"/>
      <c r="M72" s="574"/>
      <c r="N72" s="574"/>
      <c r="O72" s="101" t="s">
        <v>265</v>
      </c>
      <c r="P72" s="101" t="s">
        <v>266</v>
      </c>
      <c r="Q72" s="172"/>
      <c r="R72"/>
      <c r="U72"/>
      <c r="V72"/>
      <c r="W72"/>
      <c r="X72"/>
      <c r="Y72"/>
      <c r="Z72"/>
      <c r="AA72"/>
      <c r="AB72"/>
    </row>
    <row r="73" spans="1:28" ht="36" customHeight="1" x14ac:dyDescent="0.2">
      <c r="A73" s="107" t="s">
        <v>287</v>
      </c>
      <c r="B73" s="107" t="s">
        <v>80</v>
      </c>
      <c r="C73" s="102" t="s">
        <v>245</v>
      </c>
      <c r="D73" s="607" t="s">
        <v>284</v>
      </c>
      <c r="E73" s="470"/>
      <c r="F73" s="470"/>
      <c r="G73" s="470"/>
      <c r="H73" s="470"/>
      <c r="I73" s="470"/>
      <c r="J73" s="470"/>
      <c r="K73" s="470"/>
      <c r="L73" s="470"/>
      <c r="M73" s="470"/>
      <c r="N73" s="470"/>
      <c r="O73" s="71"/>
      <c r="P73" s="95" t="str">
        <f>IF(O73="","",IF(O73="Yes","Fail",IF(O73="No","Pass","N/A")))</f>
        <v/>
      </c>
      <c r="R73"/>
      <c r="U73"/>
      <c r="V73"/>
      <c r="W73"/>
      <c r="X73"/>
      <c r="Y73"/>
      <c r="Z73"/>
      <c r="AA73"/>
      <c r="AB73"/>
    </row>
    <row r="74" spans="1:28" ht="189" customHeight="1" x14ac:dyDescent="0.2">
      <c r="A74" s="107" t="s">
        <v>288</v>
      </c>
      <c r="B74" s="93"/>
      <c r="C74" s="102" t="s">
        <v>246</v>
      </c>
      <c r="D74" s="609" t="s">
        <v>552</v>
      </c>
      <c r="E74" s="470"/>
      <c r="F74" s="470"/>
      <c r="G74" s="470"/>
      <c r="H74" s="470"/>
      <c r="I74" s="470"/>
      <c r="J74" s="470"/>
      <c r="K74" s="470"/>
      <c r="L74" s="470"/>
      <c r="M74" s="470"/>
      <c r="N74" s="470"/>
      <c r="O74" s="71"/>
      <c r="P74" s="95" t="str">
        <f>IF(O74="","",IF(O74="Yes","Fail",IF(O74="No","Pass","N/A")))</f>
        <v/>
      </c>
      <c r="Q74" s="359"/>
      <c r="R74"/>
      <c r="U74"/>
      <c r="V74"/>
      <c r="W74"/>
      <c r="X74"/>
      <c r="Y74"/>
      <c r="Z74"/>
      <c r="AA74"/>
      <c r="AB74"/>
    </row>
    <row r="75" spans="1:28" ht="94.5" customHeight="1" x14ac:dyDescent="0.2">
      <c r="A75" s="107" t="s">
        <v>81</v>
      </c>
      <c r="B75" s="93"/>
      <c r="C75" s="102" t="s">
        <v>247</v>
      </c>
      <c r="D75" s="609" t="s">
        <v>551</v>
      </c>
      <c r="E75" s="470"/>
      <c r="F75" s="470"/>
      <c r="G75" s="470"/>
      <c r="H75" s="470"/>
      <c r="I75" s="470"/>
      <c r="J75" s="470"/>
      <c r="K75" s="470"/>
      <c r="L75" s="470"/>
      <c r="M75" s="470"/>
      <c r="N75" s="470"/>
      <c r="O75" s="71"/>
      <c r="P75" s="95" t="str">
        <f t="shared" ref="P75:P82" si="6">IF(O75="","",IF(O75="Yes","Pass",IF(O75="No","Fail","N/A")))</f>
        <v/>
      </c>
      <c r="Q75" s="173"/>
      <c r="R75"/>
      <c r="U75"/>
      <c r="V75"/>
      <c r="W75"/>
      <c r="X75"/>
      <c r="Y75"/>
      <c r="Z75"/>
      <c r="AA75"/>
      <c r="AB75"/>
    </row>
    <row r="76" spans="1:28" ht="126" customHeight="1" x14ac:dyDescent="0.2">
      <c r="A76" s="107" t="s">
        <v>69</v>
      </c>
      <c r="B76" s="93"/>
      <c r="C76" s="102" t="s">
        <v>248</v>
      </c>
      <c r="D76" s="579" t="s">
        <v>550</v>
      </c>
      <c r="E76" s="572"/>
      <c r="F76" s="572"/>
      <c r="G76" s="572"/>
      <c r="H76" s="572"/>
      <c r="I76" s="572"/>
      <c r="J76" s="572"/>
      <c r="K76" s="572"/>
      <c r="L76" s="572"/>
      <c r="M76" s="572"/>
      <c r="N76" s="572"/>
      <c r="O76" s="71"/>
      <c r="P76" s="95" t="str">
        <f t="shared" si="6"/>
        <v/>
      </c>
      <c r="Q76" s="173"/>
      <c r="R76"/>
      <c r="U76"/>
      <c r="V76"/>
      <c r="W76"/>
      <c r="X76"/>
      <c r="Y76"/>
      <c r="Z76"/>
      <c r="AA76"/>
      <c r="AB76"/>
    </row>
    <row r="77" spans="1:28" ht="78" customHeight="1" x14ac:dyDescent="0.2">
      <c r="A77" s="107" t="s">
        <v>288</v>
      </c>
      <c r="B77" s="93"/>
      <c r="C77" s="102" t="s">
        <v>249</v>
      </c>
      <c r="D77" s="579" t="s">
        <v>289</v>
      </c>
      <c r="E77" s="572"/>
      <c r="F77" s="572"/>
      <c r="G77" s="572"/>
      <c r="H77" s="572"/>
      <c r="I77" s="572"/>
      <c r="J77" s="572"/>
      <c r="K77" s="572"/>
      <c r="L77" s="572"/>
      <c r="M77" s="572"/>
      <c r="N77" s="582"/>
      <c r="O77" s="71"/>
      <c r="P77" s="95" t="str">
        <f t="shared" si="6"/>
        <v/>
      </c>
      <c r="Q77" s="173"/>
      <c r="R77"/>
      <c r="U77"/>
      <c r="V77"/>
      <c r="W77"/>
      <c r="X77"/>
      <c r="Y77"/>
      <c r="Z77"/>
      <c r="AA77"/>
      <c r="AB77"/>
    </row>
    <row r="78" spans="1:28" ht="108.75" customHeight="1" x14ac:dyDescent="0.2">
      <c r="A78" s="107" t="s">
        <v>73</v>
      </c>
      <c r="B78" s="93"/>
      <c r="C78" s="102" t="s">
        <v>250</v>
      </c>
      <c r="D78" s="579" t="s">
        <v>543</v>
      </c>
      <c r="E78" s="572"/>
      <c r="F78" s="572"/>
      <c r="G78" s="572"/>
      <c r="H78" s="572"/>
      <c r="I78" s="572"/>
      <c r="J78" s="572"/>
      <c r="K78" s="572"/>
      <c r="L78" s="572"/>
      <c r="M78" s="572"/>
      <c r="N78" s="582"/>
      <c r="O78" s="71"/>
      <c r="P78" s="95" t="str">
        <f t="shared" si="6"/>
        <v/>
      </c>
      <c r="Q78" s="173"/>
      <c r="R78"/>
      <c r="U78"/>
      <c r="V78"/>
      <c r="W78"/>
      <c r="X78"/>
      <c r="Y78"/>
      <c r="Z78"/>
      <c r="AA78"/>
      <c r="AB78"/>
    </row>
    <row r="79" spans="1:28" ht="36" customHeight="1" x14ac:dyDescent="0.2">
      <c r="A79" s="107" t="s">
        <v>81</v>
      </c>
      <c r="B79" s="93"/>
      <c r="C79" s="102" t="s">
        <v>251</v>
      </c>
      <c r="D79" s="567" t="s">
        <v>290</v>
      </c>
      <c r="E79" s="572"/>
      <c r="F79" s="572"/>
      <c r="G79" s="572"/>
      <c r="H79" s="572"/>
      <c r="I79" s="572"/>
      <c r="J79" s="572"/>
      <c r="K79" s="572"/>
      <c r="L79" s="572"/>
      <c r="M79" s="572"/>
      <c r="N79" s="582"/>
      <c r="O79" s="71"/>
      <c r="P79" s="95" t="str">
        <f t="shared" si="6"/>
        <v/>
      </c>
      <c r="Q79" s="173"/>
      <c r="R79"/>
      <c r="U79"/>
      <c r="V79"/>
      <c r="W79"/>
      <c r="X79"/>
      <c r="Y79"/>
      <c r="Z79"/>
      <c r="AA79"/>
      <c r="AB79"/>
    </row>
    <row r="80" spans="1:28" ht="91.5" customHeight="1" x14ac:dyDescent="0.2">
      <c r="A80" s="107" t="s">
        <v>81</v>
      </c>
      <c r="B80" s="93"/>
      <c r="C80" s="102" t="s">
        <v>252</v>
      </c>
      <c r="D80" s="579" t="s">
        <v>549</v>
      </c>
      <c r="E80" s="572"/>
      <c r="F80" s="572"/>
      <c r="G80" s="572"/>
      <c r="H80" s="572"/>
      <c r="I80" s="572"/>
      <c r="J80" s="572"/>
      <c r="K80" s="572"/>
      <c r="L80" s="572"/>
      <c r="M80" s="572"/>
      <c r="N80" s="582"/>
      <c r="O80" s="71"/>
      <c r="P80" s="95" t="str">
        <f t="shared" si="6"/>
        <v/>
      </c>
      <c r="Q80" s="173"/>
      <c r="R80"/>
      <c r="U80"/>
      <c r="V80"/>
      <c r="W80"/>
      <c r="X80"/>
      <c r="Y80"/>
      <c r="Z80"/>
      <c r="AA80"/>
      <c r="AB80"/>
    </row>
    <row r="81" spans="1:18" ht="61.5" customHeight="1" x14ac:dyDescent="0.2">
      <c r="A81" s="107" t="s">
        <v>288</v>
      </c>
      <c r="B81" s="93"/>
      <c r="C81" s="102" t="s">
        <v>253</v>
      </c>
      <c r="D81" s="579" t="s">
        <v>291</v>
      </c>
      <c r="E81" s="572"/>
      <c r="F81" s="572"/>
      <c r="G81" s="572"/>
      <c r="H81" s="572"/>
      <c r="I81" s="572"/>
      <c r="J81" s="572"/>
      <c r="K81" s="572"/>
      <c r="L81" s="572"/>
      <c r="M81" s="572"/>
      <c r="N81" s="582"/>
      <c r="O81" s="71"/>
      <c r="P81" s="95" t="str">
        <f t="shared" si="6"/>
        <v/>
      </c>
      <c r="Q81"/>
      <c r="R81"/>
    </row>
    <row r="82" spans="1:18" ht="78.75" customHeight="1" x14ac:dyDescent="0.2">
      <c r="A82" s="106">
        <v>1</v>
      </c>
      <c r="B82" s="93"/>
      <c r="C82" s="102" t="s">
        <v>254</v>
      </c>
      <c r="D82" s="609" t="s">
        <v>548</v>
      </c>
      <c r="E82" s="470"/>
      <c r="F82" s="470"/>
      <c r="G82" s="470"/>
      <c r="H82" s="470"/>
      <c r="I82" s="470"/>
      <c r="J82" s="470"/>
      <c r="K82" s="470"/>
      <c r="L82" s="470"/>
      <c r="M82" s="470"/>
      <c r="N82" s="471"/>
      <c r="O82" s="71"/>
      <c r="P82" s="95" t="str">
        <f t="shared" si="6"/>
        <v/>
      </c>
      <c r="Q82"/>
      <c r="R82"/>
    </row>
    <row r="83" spans="1:18" ht="20.25" customHeight="1" x14ac:dyDescent="0.2">
      <c r="A83" s="107" t="s">
        <v>73</v>
      </c>
      <c r="C83" s="469" t="s">
        <v>292</v>
      </c>
      <c r="D83" s="470"/>
      <c r="E83" s="470"/>
      <c r="F83" s="470"/>
      <c r="G83" s="470"/>
      <c r="H83" s="470"/>
      <c r="I83" s="470"/>
      <c r="J83" s="470"/>
      <c r="K83" s="470"/>
      <c r="L83" s="470"/>
      <c r="M83" s="470"/>
      <c r="N83" s="470"/>
      <c r="O83" s="346"/>
      <c r="P83" s="95"/>
      <c r="Q83"/>
      <c r="R83"/>
    </row>
    <row r="84" spans="1:18" ht="21" customHeight="1" x14ac:dyDescent="0.2">
      <c r="B84" s="93"/>
      <c r="C84" s="581" t="s">
        <v>17</v>
      </c>
      <c r="D84" s="470"/>
      <c r="E84" s="470"/>
      <c r="F84" s="470"/>
      <c r="G84" s="470"/>
      <c r="H84" s="470"/>
      <c r="I84" s="470"/>
      <c r="J84" s="470"/>
      <c r="K84" s="470"/>
      <c r="L84" s="470"/>
      <c r="M84" s="470"/>
      <c r="N84" s="470"/>
      <c r="O84" s="345"/>
      <c r="P84" s="346"/>
      <c r="Q84"/>
      <c r="R84"/>
    </row>
    <row r="85" spans="1:18" ht="18" x14ac:dyDescent="0.2">
      <c r="P85" s="345"/>
      <c r="Q85" s="173"/>
      <c r="R85" s="173"/>
    </row>
    <row r="86" spans="1:18" ht="18" x14ac:dyDescent="0.2">
      <c r="P86" s="105"/>
      <c r="Q86" s="173"/>
      <c r="R86" s="173"/>
    </row>
    <row r="87" spans="1:18" x14ac:dyDescent="0.2">
      <c r="P87" s="105"/>
      <c r="Q87" s="105"/>
      <c r="R87" s="105"/>
    </row>
    <row r="88" spans="1:18" x14ac:dyDescent="0.2">
      <c r="Q88" s="105"/>
      <c r="R88" s="105"/>
    </row>
    <row r="89" spans="1:18" x14ac:dyDescent="0.2">
      <c r="Q89" s="105"/>
      <c r="R89" s="105"/>
    </row>
    <row r="90" spans="1:18" x14ac:dyDescent="0.2">
      <c r="Q90" s="105"/>
      <c r="R90" s="105"/>
    </row>
  </sheetData>
  <sheetProtection algorithmName="SHA-512" hashValue="JS/dAGR+9UK3c+xDoECHj4DnKpTIVm+raAzCAsZBjyyflGwdLToEuDQHFLNorkxWujMbIzRkBmdyGoo89lTsQA==" saltValue="++7M4k5sBYmQhViT5hqXcw==" spinCount="100000" sheet="1" objects="1" scenarios="1"/>
  <mergeCells count="83">
    <mergeCell ref="D82:N82"/>
    <mergeCell ref="C83:N83"/>
    <mergeCell ref="C84:N84"/>
    <mergeCell ref="C34:N34"/>
    <mergeCell ref="C35:N35"/>
    <mergeCell ref="D37:N37"/>
    <mergeCell ref="D49:N49"/>
    <mergeCell ref="C50:N50"/>
    <mergeCell ref="D76:N76"/>
    <mergeCell ref="D77:N77"/>
    <mergeCell ref="D78:N78"/>
    <mergeCell ref="D64:N64"/>
    <mergeCell ref="D54:N54"/>
    <mergeCell ref="D63:N63"/>
    <mergeCell ref="D58:N58"/>
    <mergeCell ref="D60:N60"/>
    <mergeCell ref="C61:N61"/>
    <mergeCell ref="C62:N62"/>
    <mergeCell ref="D69:N69"/>
    <mergeCell ref="C71:N71"/>
    <mergeCell ref="D56:N56"/>
    <mergeCell ref="D57:N57"/>
    <mergeCell ref="D52:N52"/>
    <mergeCell ref="D53:N53"/>
    <mergeCell ref="D59:N59"/>
    <mergeCell ref="D13:N13"/>
    <mergeCell ref="D14:N14"/>
    <mergeCell ref="D29:N29"/>
    <mergeCell ref="C51:N51"/>
    <mergeCell ref="D40:N40"/>
    <mergeCell ref="D47:N47"/>
    <mergeCell ref="D48:N48"/>
    <mergeCell ref="D43:N43"/>
    <mergeCell ref="D44:N44"/>
    <mergeCell ref="D45:N45"/>
    <mergeCell ref="D46:N46"/>
    <mergeCell ref="D42:N42"/>
    <mergeCell ref="D41:N41"/>
    <mergeCell ref="D19:N19"/>
    <mergeCell ref="C20:N20"/>
    <mergeCell ref="C21:N21"/>
    <mergeCell ref="D15:N15"/>
    <mergeCell ref="D16:N16"/>
    <mergeCell ref="D17:N17"/>
    <mergeCell ref="D18:N18"/>
    <mergeCell ref="D22:N22"/>
    <mergeCell ref="D31:N31"/>
    <mergeCell ref="D32:N32"/>
    <mergeCell ref="D23:N23"/>
    <mergeCell ref="D24:N24"/>
    <mergeCell ref="D25:N25"/>
    <mergeCell ref="D26:N26"/>
    <mergeCell ref="C27:N27"/>
    <mergeCell ref="D30:N30"/>
    <mergeCell ref="C28:N28"/>
    <mergeCell ref="S1:U1"/>
    <mergeCell ref="T4:U4"/>
    <mergeCell ref="C1:G1"/>
    <mergeCell ref="C2:G2"/>
    <mergeCell ref="D12:N12"/>
    <mergeCell ref="K1:L1"/>
    <mergeCell ref="K2:L2"/>
    <mergeCell ref="E5:G5"/>
    <mergeCell ref="D8:N8"/>
    <mergeCell ref="D9:N9"/>
    <mergeCell ref="D10:N10"/>
    <mergeCell ref="D11:N11"/>
    <mergeCell ref="D33:N33"/>
    <mergeCell ref="D81:N81"/>
    <mergeCell ref="D65:N65"/>
    <mergeCell ref="D66:N66"/>
    <mergeCell ref="D67:N67"/>
    <mergeCell ref="D80:N80"/>
    <mergeCell ref="D79:N79"/>
    <mergeCell ref="D68:N68"/>
    <mergeCell ref="D72:N72"/>
    <mergeCell ref="D73:N73"/>
    <mergeCell ref="D74:N74"/>
    <mergeCell ref="D75:N75"/>
    <mergeCell ref="D36:N36"/>
    <mergeCell ref="D39:N39"/>
    <mergeCell ref="C70:N70"/>
    <mergeCell ref="D55:N55"/>
  </mergeCells>
  <conditionalFormatting sqref="M5">
    <cfRule type="containsText" dxfId="84" priority="4" operator="containsText" text="Fail">
      <formula>NOT(ISERROR(SEARCH("Fail",M5)))</formula>
    </cfRule>
  </conditionalFormatting>
  <conditionalFormatting sqref="P8:R19 P20 P22:R26 P29:R33 Q34:Q46 P36:P37 P39:P49 Q51:Q59 P52:P60 P63:P69 Q63:Q70 P72:P83 Q74:Q80">
    <cfRule type="containsText" dxfId="83" priority="1" operator="containsText" text="Fail">
      <formula>NOT(ISERROR(SEARCH("Fail",P8)))</formula>
    </cfRule>
  </conditionalFormatting>
  <conditionalFormatting sqref="Q85:R86">
    <cfRule type="containsText" dxfId="82" priority="6" operator="containsText" text="Fail">
      <formula>NOT(ISERROR(SEARCH("Fail",Q85)))</formula>
    </cfRule>
  </conditionalFormatting>
  <conditionalFormatting sqref="U1:U3 T4">
    <cfRule type="containsText" dxfId="81" priority="2" operator="containsText" text="Fail">
      <formula>NOT(ISERROR(SEARCH("Fail",T1)))</formula>
    </cfRule>
  </conditionalFormatting>
  <conditionalFormatting sqref="AE9">
    <cfRule type="containsText" dxfId="80" priority="5" operator="containsText" text="Fail">
      <formula>NOT(ISERROR(SEARCH("Fail",AE9)))</formula>
    </cfRule>
  </conditionalFormatting>
  <dataValidations count="4">
    <dataValidation type="whole" operator="greaterThan" allowBlank="1" showInputMessage="1" showErrorMessage="1" sqref="X9:X34" xr:uid="{14122C76-8F65-4D49-A8EC-EA1375F5897D}">
      <formula1>0</formula1>
    </dataValidation>
    <dataValidation type="date" operator="greaterThan" allowBlank="1" showInputMessage="1" showErrorMessage="1" sqref="W9:W34" xr:uid="{1BE21177-11AA-4582-9D1B-34140D44B7EA}">
      <formula1>36526</formula1>
    </dataValidation>
    <dataValidation type="list" showErrorMessage="1" errorTitle="Invalid Selection" error="Select either Yes, No, or N/A from the dropdown list. Click &quot;Cancel&quot; below, then update selection." sqref="O73:O82 O23:O26 O53:O60 O39:O49 O64:O69 O37 O30:O33 O9:O19" xr:uid="{E985E48A-77E4-4C64-8FC3-02E80C9462DB}">
      <formula1>"Yes,No,N/A"</formula1>
    </dataValidation>
    <dataValidation type="decimal" operator="greaterThanOrEqual" allowBlank="1" showInputMessage="1" showErrorMessage="1" errorTitle="Input Error" error="Insert the claimed amount with dollars and cents in $0.00 format. Click &quot;Cancel&quot; below and try again." sqref="Y9:Y34" xr:uid="{4AEF8BB4-66B7-441D-BCF9-35213D51BB91}">
      <formula1>0</formula1>
    </dataValidation>
  </dataValidations>
  <pageMargins left="0.7" right="0.7" top="1" bottom="0.75" header="0.3" footer="0.3"/>
  <pageSetup scale="70" fitToHeight="0" orientation="portrait" r:id="rId1"/>
  <headerFooter>
    <oddHeader>&amp;CConfidential QI Report
San Diego County Mental Health Plan
Behavioral Health Services
Fiscal Year 23-24</oddHeader>
    <oddFooter>&amp;LFY 23-24 Medical Record Review Report - Excel - Rev. 7-1-23</oddFooter>
  </headerFooter>
  <colBreaks count="1" manualBreakCount="1">
    <brk id="16" max="84"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5F162A7E-9594-4EB9-9D8D-564FC53E3900}">
          <x14:formula1>
            <xm:f>Validations!$E$4:$E$15</xm:f>
          </x14:formula1>
          <xm:sqref>Z9:Z34</xm:sqref>
        </x14:dataValidation>
        <x14:dataValidation type="list" allowBlank="1" showInputMessage="1" showErrorMessage="1" xr:uid="{4331BA4F-3BA5-497B-A0DA-B2541F36362C}">
          <x14:formula1>
            <xm:f>Validations!$D$4:$D$7</xm:f>
          </x14:formula1>
          <xm:sqref>AA9:AA34</xm:sqref>
        </x14:dataValidation>
        <x14:dataValidation type="list" allowBlank="1" showInputMessage="1" showErrorMessage="1" xr:uid="{7BC3E9D8-729F-411D-ABCA-630E051D8A13}">
          <x14:formula1>
            <xm:f>Validations!$C$4:$C$54</xm:f>
          </x14:formula1>
          <xm:sqref>V9:V34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4A9D1-1C73-4561-AAA2-1A8724EDADC2}">
  <sheetPr codeName="Sheet7">
    <tabColor theme="3" tint="0.39997558519241921"/>
  </sheetPr>
  <dimension ref="A1:AE90"/>
  <sheetViews>
    <sheetView showGridLines="0" view="pageBreakPreview" zoomScale="92" zoomScaleNormal="80" zoomScaleSheetLayoutView="92" workbookViewId="0">
      <selection activeCell="D12" sqref="D12:N12"/>
    </sheetView>
  </sheetViews>
  <sheetFormatPr defaultColWidth="9.5703125" defaultRowHeight="15" x14ac:dyDescent="0.2"/>
  <cols>
    <col min="1" max="1" width="7.7109375" style="106" customWidth="1"/>
    <col min="2" max="2" width="8.42578125" style="4" customWidth="1"/>
    <col min="3" max="3" width="8.42578125" style="5" customWidth="1"/>
    <col min="4" max="4" width="2.5703125" style="1" customWidth="1"/>
    <col min="5" max="5" width="7.140625" style="1" customWidth="1"/>
    <col min="6" max="6" width="8.5703125" style="1" customWidth="1"/>
    <col min="7" max="7" width="6.42578125" style="1" customWidth="1"/>
    <col min="8" max="8" width="4.7109375" style="1" customWidth="1"/>
    <col min="9" max="9" width="27.28515625" style="1" customWidth="1"/>
    <col min="10" max="10" width="2.5703125" style="1" customWidth="1"/>
    <col min="11" max="11" width="18.140625" style="1" customWidth="1"/>
    <col min="12" max="12" width="3.42578125" style="1" customWidth="1"/>
    <col min="13" max="13" width="12.140625" style="1" customWidth="1"/>
    <col min="14" max="14" width="8.42578125" style="1" customWidth="1"/>
    <col min="15" max="15" width="13.28515625" style="1" customWidth="1"/>
    <col min="16" max="16" width="8.7109375" style="1" hidden="1" customWidth="1"/>
    <col min="17" max="18" width="1.85546875" style="1" customWidth="1"/>
    <col min="19" max="19" width="11.7109375" customWidth="1"/>
    <col min="20" max="20" width="10" customWidth="1"/>
    <col min="21" max="21" width="12" style="1" customWidth="1"/>
    <col min="22" max="22" width="22.7109375" style="1" customWidth="1"/>
    <col min="23" max="23" width="10.140625" style="1" customWidth="1"/>
    <col min="24" max="24" width="8.5703125" style="1" customWidth="1"/>
    <col min="25" max="25" width="9.42578125" style="1" customWidth="1"/>
    <col min="26" max="26" width="12.140625" style="1" customWidth="1"/>
    <col min="27" max="27" width="13.28515625" style="1" customWidth="1"/>
    <col min="28" max="28" width="21" style="1" customWidth="1"/>
    <col min="29" max="16384" width="9.5703125" style="1"/>
  </cols>
  <sheetData>
    <row r="1" spans="1:31" s="5" customFormat="1" ht="15.75" x14ac:dyDescent="0.25">
      <c r="A1" s="106"/>
      <c r="B1" s="4"/>
      <c r="C1" s="560" t="s">
        <v>338</v>
      </c>
      <c r="D1" s="561"/>
      <c r="E1" s="561"/>
      <c r="F1" s="561"/>
      <c r="G1" s="562"/>
      <c r="H1"/>
      <c r="I1" s="86" t="s">
        <v>38</v>
      </c>
      <c r="J1" s="153"/>
      <c r="K1" s="560" t="s">
        <v>12</v>
      </c>
      <c r="L1" s="562"/>
      <c r="N1"/>
      <c r="O1"/>
      <c r="P1"/>
      <c r="Q1"/>
      <c r="R1"/>
      <c r="S1" s="560" t="s">
        <v>260</v>
      </c>
      <c r="T1" s="561"/>
      <c r="U1" s="562"/>
      <c r="V1"/>
      <c r="W1"/>
      <c r="X1"/>
      <c r="Y1"/>
      <c r="Z1"/>
      <c r="AA1"/>
      <c r="AB1"/>
    </row>
    <row r="2" spans="1:31" s="5" customFormat="1" ht="15" customHeight="1" x14ac:dyDescent="0.2">
      <c r="A2" s="106"/>
      <c r="B2" s="4"/>
      <c r="C2" s="583">
        <f>'Chart Review Info'!D3</f>
        <v>0</v>
      </c>
      <c r="D2" s="584"/>
      <c r="E2" s="584"/>
      <c r="F2" s="584"/>
      <c r="G2" s="585"/>
      <c r="H2"/>
      <c r="I2" s="150">
        <f>'Chart Review Info'!D4</f>
        <v>0</v>
      </c>
      <c r="J2" s="153"/>
      <c r="K2" s="592">
        <f>'Chart Review Info'!F18</f>
        <v>0</v>
      </c>
      <c r="L2" s="591"/>
      <c r="N2"/>
      <c r="O2"/>
      <c r="P2"/>
      <c r="Q2"/>
      <c r="R2"/>
      <c r="S2" s="55">
        <f>'Chart Review Info'!G4</f>
        <v>0</v>
      </c>
      <c r="T2" s="82" t="s">
        <v>261</v>
      </c>
      <c r="U2" s="83">
        <f>'Chart Review Info'!G5</f>
        <v>0</v>
      </c>
      <c r="V2"/>
      <c r="W2"/>
      <c r="X2"/>
      <c r="Y2"/>
      <c r="Z2"/>
      <c r="AA2"/>
      <c r="AB2"/>
    </row>
    <row r="3" spans="1:31" s="5" customFormat="1" x14ac:dyDescent="0.2">
      <c r="A3" s="106"/>
      <c r="B3" s="4"/>
      <c r="C3" s="84"/>
      <c r="H3"/>
      <c r="J3" s="98"/>
      <c r="V3"/>
      <c r="W3"/>
      <c r="X3"/>
      <c r="Y3"/>
      <c r="Z3"/>
      <c r="AA3"/>
      <c r="AB3"/>
    </row>
    <row r="4" spans="1:31" s="5" customFormat="1" ht="15.75" x14ac:dyDescent="0.25">
      <c r="A4" s="106"/>
      <c r="B4" s="4"/>
      <c r="C4" s="85" t="s">
        <v>202</v>
      </c>
      <c r="E4" s="85" t="s">
        <v>86</v>
      </c>
      <c r="F4" s="86"/>
      <c r="G4" s="85"/>
      <c r="H4"/>
      <c r="I4" s="151" t="s">
        <v>350</v>
      </c>
      <c r="J4" s="98"/>
      <c r="K4" s="87" t="s">
        <v>260</v>
      </c>
      <c r="L4" s="88"/>
      <c r="O4" s="86" t="s">
        <v>294</v>
      </c>
      <c r="P4"/>
      <c r="Q4"/>
      <c r="R4"/>
      <c r="S4" s="85" t="s">
        <v>12</v>
      </c>
      <c r="T4" s="563">
        <f>Prog_5</f>
        <v>0</v>
      </c>
      <c r="U4" s="564"/>
      <c r="V4"/>
      <c r="W4"/>
      <c r="X4"/>
      <c r="Y4"/>
      <c r="Z4"/>
      <c r="AA4"/>
      <c r="AB4"/>
    </row>
    <row r="5" spans="1:31" s="5" customFormat="1" x14ac:dyDescent="0.2">
      <c r="A5" s="106"/>
      <c r="B5" s="4"/>
      <c r="C5" s="54">
        <v>5</v>
      </c>
      <c r="E5" s="589" t="str">
        <f>'Chart Review Info'!C18</f>
        <v>N/A</v>
      </c>
      <c r="F5" s="590"/>
      <c r="G5" s="591"/>
      <c r="H5"/>
      <c r="I5" s="152">
        <f>Consum_5</f>
        <v>0</v>
      </c>
      <c r="J5" s="98"/>
      <c r="K5" s="293">
        <f>'Chart Review Info'!G4</f>
        <v>0</v>
      </c>
      <c r="L5" s="102" t="s">
        <v>261</v>
      </c>
      <c r="M5" s="293">
        <f>'Chart Review Info'!G5</f>
        <v>0</v>
      </c>
      <c r="O5" s="54">
        <f>'Chart Review Info'!G18</f>
        <v>0</v>
      </c>
      <c r="P5"/>
      <c r="Q5"/>
      <c r="R5"/>
      <c r="S5"/>
      <c r="T5"/>
      <c r="V5"/>
      <c r="W5"/>
      <c r="X5"/>
      <c r="Y5" s="6" t="s">
        <v>514</v>
      </c>
      <c r="Z5"/>
      <c r="AA5"/>
      <c r="AB5"/>
    </row>
    <row r="6" spans="1:31" x14ac:dyDescent="0.2">
      <c r="C6" s="154"/>
      <c r="D6" s="158"/>
      <c r="E6" s="155"/>
      <c r="F6" s="155"/>
      <c r="G6" s="155"/>
      <c r="H6" s="155"/>
      <c r="I6" s="155"/>
      <c r="J6" s="155"/>
      <c r="K6" s="155"/>
      <c r="L6" s="155"/>
      <c r="M6" s="155"/>
      <c r="N6" s="155"/>
      <c r="O6" s="155"/>
      <c r="P6" s="155"/>
      <c r="Q6" s="360"/>
      <c r="R6" s="360"/>
      <c r="T6" s="1"/>
      <c r="W6" s="51"/>
      <c r="Y6" s="329">
        <f>SUM(Y9:Y16)</f>
        <v>0</v>
      </c>
      <c r="AA6" s="13"/>
      <c r="AB6" s="13"/>
    </row>
    <row r="7" spans="1:31" ht="23.25" x14ac:dyDescent="0.25">
      <c r="C7" s="89" t="s">
        <v>262</v>
      </c>
      <c r="D7" s="159"/>
      <c r="E7" s="90"/>
      <c r="F7" s="90"/>
      <c r="G7" s="90"/>
      <c r="H7" s="90"/>
      <c r="I7" s="90"/>
      <c r="J7" s="90"/>
      <c r="K7" s="90"/>
      <c r="L7" s="90"/>
      <c r="M7" s="90"/>
      <c r="N7" s="90"/>
      <c r="O7" s="90"/>
      <c r="P7" s="90"/>
      <c r="S7" s="20"/>
      <c r="T7" s="21"/>
      <c r="U7" s="21"/>
      <c r="V7" s="21"/>
      <c r="W7" s="21"/>
      <c r="X7" s="160" t="s">
        <v>263</v>
      </c>
      <c r="Y7" s="160"/>
      <c r="Z7" s="160"/>
      <c r="AA7" s="22"/>
      <c r="AB7" s="23"/>
    </row>
    <row r="8" spans="1:31" ht="27" customHeight="1" x14ac:dyDescent="0.25">
      <c r="C8" s="91" t="s">
        <v>264</v>
      </c>
      <c r="D8" s="588" t="s">
        <v>68</v>
      </c>
      <c r="E8" s="574"/>
      <c r="F8" s="574"/>
      <c r="G8" s="574"/>
      <c r="H8" s="574"/>
      <c r="I8" s="574"/>
      <c r="J8" s="574"/>
      <c r="K8" s="574"/>
      <c r="L8" s="574"/>
      <c r="M8" s="574"/>
      <c r="N8" s="574"/>
      <c r="O8" s="92" t="s">
        <v>265</v>
      </c>
      <c r="P8" s="92" t="s">
        <v>266</v>
      </c>
      <c r="Q8" s="359"/>
      <c r="R8" s="359"/>
      <c r="S8" s="7" t="s">
        <v>449</v>
      </c>
      <c r="T8" s="9" t="s">
        <v>87</v>
      </c>
      <c r="U8" s="7" t="s">
        <v>88</v>
      </c>
      <c r="V8" s="7" t="s">
        <v>89</v>
      </c>
      <c r="W8" s="7" t="s">
        <v>90</v>
      </c>
      <c r="X8" s="7" t="s">
        <v>644</v>
      </c>
      <c r="Y8" s="8" t="s">
        <v>201</v>
      </c>
      <c r="Z8" s="116" t="s">
        <v>91</v>
      </c>
      <c r="AA8" s="117" t="s">
        <v>95</v>
      </c>
      <c r="AB8" s="117" t="s">
        <v>92</v>
      </c>
    </row>
    <row r="9" spans="1:31" ht="60" customHeight="1" x14ac:dyDescent="0.2">
      <c r="A9" s="212" t="s">
        <v>73</v>
      </c>
      <c r="B9" s="93"/>
      <c r="C9" s="94" t="s">
        <v>204</v>
      </c>
      <c r="D9" s="567" t="s">
        <v>658</v>
      </c>
      <c r="E9" s="470"/>
      <c r="F9" s="470"/>
      <c r="G9" s="470"/>
      <c r="H9" s="470"/>
      <c r="I9" s="470"/>
      <c r="J9" s="470"/>
      <c r="K9" s="470"/>
      <c r="L9" s="470"/>
      <c r="M9" s="470"/>
      <c r="N9" s="471"/>
      <c r="O9" s="71"/>
      <c r="P9" s="95" t="str">
        <f t="shared" ref="P9:P12" si="0">IF(O9="","",IF(O9="Yes","Pass",IF(O9="No","Fail","N/A")))</f>
        <v/>
      </c>
      <c r="Q9" s="173"/>
      <c r="R9" s="173"/>
      <c r="S9" s="124"/>
      <c r="T9" s="125"/>
      <c r="U9" s="125"/>
      <c r="V9" s="125"/>
      <c r="W9" s="126"/>
      <c r="X9" s="125"/>
      <c r="Y9" s="127"/>
      <c r="Z9" s="128"/>
      <c r="AA9" s="129"/>
      <c r="AB9" s="130"/>
      <c r="AC9" s="96"/>
      <c r="AD9" s="96"/>
      <c r="AE9" s="96"/>
    </row>
    <row r="10" spans="1:31" ht="87" customHeight="1" x14ac:dyDescent="0.2">
      <c r="A10" s="107">
        <v>1</v>
      </c>
      <c r="B10" s="93"/>
      <c r="C10" s="94" t="s">
        <v>205</v>
      </c>
      <c r="D10" s="567" t="s">
        <v>528</v>
      </c>
      <c r="E10" s="586"/>
      <c r="F10" s="586"/>
      <c r="G10" s="586"/>
      <c r="H10" s="586"/>
      <c r="I10" s="586"/>
      <c r="J10" s="586"/>
      <c r="K10" s="586"/>
      <c r="L10" s="586"/>
      <c r="M10" s="586"/>
      <c r="N10" s="587"/>
      <c r="O10" s="71"/>
      <c r="P10" s="95" t="str">
        <f t="shared" si="0"/>
        <v/>
      </c>
      <c r="Q10" s="173"/>
      <c r="R10" s="173"/>
      <c r="S10" s="124"/>
      <c r="T10" s="124"/>
      <c r="U10" s="124"/>
      <c r="V10" s="125"/>
      <c r="W10" s="131"/>
      <c r="X10" s="124"/>
      <c r="Y10" s="127"/>
      <c r="Z10" s="128"/>
      <c r="AA10" s="129"/>
      <c r="AB10" s="129"/>
    </row>
    <row r="11" spans="1:31" ht="50.25" customHeight="1" x14ac:dyDescent="0.2">
      <c r="A11" s="107" t="s">
        <v>70</v>
      </c>
      <c r="B11" s="93"/>
      <c r="C11" s="94" t="s">
        <v>206</v>
      </c>
      <c r="D11" s="567" t="s">
        <v>529</v>
      </c>
      <c r="E11" s="586"/>
      <c r="F11" s="586"/>
      <c r="G11" s="586"/>
      <c r="H11" s="586"/>
      <c r="I11" s="586"/>
      <c r="J11" s="586"/>
      <c r="K11" s="586"/>
      <c r="L11" s="586"/>
      <c r="M11" s="586"/>
      <c r="N11" s="587"/>
      <c r="O11" s="71"/>
      <c r="P11" s="95" t="str">
        <f t="shared" si="0"/>
        <v/>
      </c>
      <c r="Q11" s="173"/>
      <c r="R11" s="173"/>
      <c r="S11" s="124"/>
      <c r="T11" s="124"/>
      <c r="U11" s="124"/>
      <c r="V11" s="125"/>
      <c r="W11" s="131"/>
      <c r="X11" s="124"/>
      <c r="Y11" s="127"/>
      <c r="Z11" s="128"/>
      <c r="AA11" s="129"/>
      <c r="AB11" s="129"/>
    </row>
    <row r="12" spans="1:31" ht="33.75" customHeight="1" x14ac:dyDescent="0.2">
      <c r="A12" s="106">
        <v>1</v>
      </c>
      <c r="C12" s="94" t="s">
        <v>207</v>
      </c>
      <c r="D12" s="567" t="s">
        <v>659</v>
      </c>
      <c r="E12" s="586"/>
      <c r="F12" s="586"/>
      <c r="G12" s="586"/>
      <c r="H12" s="586"/>
      <c r="I12" s="586"/>
      <c r="J12" s="586"/>
      <c r="K12" s="586"/>
      <c r="L12" s="586"/>
      <c r="M12" s="586"/>
      <c r="N12" s="587"/>
      <c r="O12" s="71"/>
      <c r="P12" s="95" t="str">
        <f t="shared" si="0"/>
        <v/>
      </c>
      <c r="Q12" s="173"/>
      <c r="R12" s="173"/>
      <c r="S12" s="124"/>
      <c r="T12" s="124"/>
      <c r="U12" s="124"/>
      <c r="V12" s="125"/>
      <c r="W12" s="131"/>
      <c r="X12" s="124"/>
      <c r="Y12" s="127"/>
      <c r="Z12" s="128"/>
      <c r="AA12" s="129"/>
      <c r="AB12" s="129"/>
    </row>
    <row r="13" spans="1:31" ht="36" customHeight="1" x14ac:dyDescent="0.2">
      <c r="A13" s="107">
        <v>1</v>
      </c>
      <c r="B13" s="93"/>
      <c r="C13" s="97" t="s">
        <v>208</v>
      </c>
      <c r="D13" s="567" t="s">
        <v>656</v>
      </c>
      <c r="E13" s="470"/>
      <c r="F13" s="470"/>
      <c r="G13" s="470"/>
      <c r="H13" s="470"/>
      <c r="I13" s="470"/>
      <c r="J13" s="470"/>
      <c r="K13" s="470"/>
      <c r="L13" s="470"/>
      <c r="M13" s="470"/>
      <c r="N13" s="471"/>
      <c r="O13" s="71"/>
      <c r="P13" s="95" t="str">
        <f t="shared" ref="P13:P19" si="1">IF(O13="","",IF(O13="Yes","Pass",IF(O13="No","Fail","N/A")))</f>
        <v/>
      </c>
      <c r="Q13" s="173"/>
      <c r="R13" s="173"/>
      <c r="S13" s="124"/>
      <c r="T13" s="124"/>
      <c r="U13" s="124"/>
      <c r="V13" s="125"/>
      <c r="W13" s="131"/>
      <c r="X13" s="124"/>
      <c r="Y13" s="127"/>
      <c r="Z13" s="128"/>
      <c r="AA13" s="129"/>
      <c r="AB13" s="129"/>
    </row>
    <row r="14" spans="1:31" ht="46.5" customHeight="1" x14ac:dyDescent="0.2">
      <c r="A14" s="107" t="s">
        <v>70</v>
      </c>
      <c r="B14" s="93"/>
      <c r="C14" s="97" t="s">
        <v>209</v>
      </c>
      <c r="D14" s="567" t="s">
        <v>530</v>
      </c>
      <c r="E14" s="586"/>
      <c r="F14" s="586"/>
      <c r="G14" s="586"/>
      <c r="H14" s="586"/>
      <c r="I14" s="586"/>
      <c r="J14" s="586"/>
      <c r="K14" s="586"/>
      <c r="L14" s="586"/>
      <c r="M14" s="586"/>
      <c r="N14" s="587"/>
      <c r="O14" s="71"/>
      <c r="P14" s="95" t="str">
        <f t="shared" si="1"/>
        <v/>
      </c>
      <c r="Q14" s="173"/>
      <c r="R14" s="173"/>
      <c r="S14" s="124"/>
      <c r="T14" s="124"/>
      <c r="U14" s="124"/>
      <c r="V14" s="125"/>
      <c r="W14" s="131"/>
      <c r="X14" s="124"/>
      <c r="Y14" s="127"/>
      <c r="Z14" s="128"/>
      <c r="AA14" s="129"/>
      <c r="AB14" s="129"/>
    </row>
    <row r="15" spans="1:31" ht="49.5" customHeight="1" x14ac:dyDescent="0.2">
      <c r="A15" s="107">
        <v>1</v>
      </c>
      <c r="B15" s="93"/>
      <c r="C15" s="94" t="s">
        <v>210</v>
      </c>
      <c r="D15" s="567" t="s">
        <v>531</v>
      </c>
      <c r="E15" s="586"/>
      <c r="F15" s="586"/>
      <c r="G15" s="586"/>
      <c r="H15" s="586"/>
      <c r="I15" s="586"/>
      <c r="J15" s="586"/>
      <c r="K15" s="586"/>
      <c r="L15" s="586"/>
      <c r="M15" s="586"/>
      <c r="N15" s="587"/>
      <c r="O15" s="71"/>
      <c r="P15" s="95" t="str">
        <f t="shared" si="1"/>
        <v/>
      </c>
      <c r="Q15" s="173"/>
      <c r="R15" s="173"/>
      <c r="S15" s="124"/>
      <c r="T15" s="124"/>
      <c r="U15" s="124"/>
      <c r="V15" s="125"/>
      <c r="W15" s="131"/>
      <c r="X15" s="124"/>
      <c r="Y15" s="127"/>
      <c r="Z15" s="128"/>
      <c r="AA15" s="129"/>
      <c r="AB15" s="129"/>
    </row>
    <row r="16" spans="1:31" ht="66.75" customHeight="1" x14ac:dyDescent="0.2">
      <c r="A16" s="106">
        <v>1</v>
      </c>
      <c r="C16" s="97" t="s">
        <v>211</v>
      </c>
      <c r="D16" s="567" t="s">
        <v>532</v>
      </c>
      <c r="E16" s="586"/>
      <c r="F16" s="586"/>
      <c r="G16" s="586"/>
      <c r="H16" s="586"/>
      <c r="I16" s="586"/>
      <c r="J16" s="586"/>
      <c r="K16" s="586"/>
      <c r="L16" s="586"/>
      <c r="M16" s="586"/>
      <c r="N16" s="587"/>
      <c r="O16" s="71"/>
      <c r="P16" s="95" t="str">
        <f t="shared" si="1"/>
        <v/>
      </c>
      <c r="Q16" s="173"/>
      <c r="R16" s="173"/>
      <c r="S16" s="124"/>
      <c r="T16" s="124"/>
      <c r="U16" s="124"/>
      <c r="V16" s="125"/>
      <c r="W16" s="131"/>
      <c r="X16" s="124"/>
      <c r="Y16" s="127"/>
      <c r="Z16" s="128"/>
      <c r="AA16" s="129"/>
      <c r="AB16" s="129"/>
    </row>
    <row r="17" spans="1:28" ht="39" customHeight="1" x14ac:dyDescent="0.2">
      <c r="A17" s="107" t="s">
        <v>70</v>
      </c>
      <c r="B17" s="93"/>
      <c r="C17" s="97" t="s">
        <v>212</v>
      </c>
      <c r="D17" s="567" t="s">
        <v>533</v>
      </c>
      <c r="E17" s="586"/>
      <c r="F17" s="586"/>
      <c r="G17" s="586"/>
      <c r="H17" s="586"/>
      <c r="I17" s="586"/>
      <c r="J17" s="586"/>
      <c r="K17" s="586"/>
      <c r="L17" s="586"/>
      <c r="M17" s="586"/>
      <c r="N17" s="587"/>
      <c r="O17" s="71"/>
      <c r="P17" s="95" t="str">
        <f t="shared" si="1"/>
        <v/>
      </c>
      <c r="Q17" s="173"/>
      <c r="R17" s="173"/>
      <c r="S17" s="124"/>
      <c r="T17" s="124"/>
      <c r="U17" s="124"/>
      <c r="V17" s="125"/>
      <c r="W17" s="131"/>
      <c r="X17" s="124"/>
      <c r="Y17" s="127"/>
      <c r="Z17" s="128"/>
      <c r="AA17" s="129"/>
      <c r="AB17" s="129"/>
    </row>
    <row r="18" spans="1:28" ht="83.25" customHeight="1" x14ac:dyDescent="0.2">
      <c r="A18" s="107" t="s">
        <v>70</v>
      </c>
      <c r="B18" s="93"/>
      <c r="C18" s="94" t="s">
        <v>657</v>
      </c>
      <c r="D18" s="567" t="s">
        <v>534</v>
      </c>
      <c r="E18" s="586"/>
      <c r="F18" s="586"/>
      <c r="G18" s="586"/>
      <c r="H18" s="586"/>
      <c r="I18" s="586"/>
      <c r="J18" s="586"/>
      <c r="K18" s="586"/>
      <c r="L18" s="586"/>
      <c r="M18" s="586"/>
      <c r="N18" s="587"/>
      <c r="O18" s="71"/>
      <c r="P18" s="95" t="str">
        <f t="shared" si="1"/>
        <v/>
      </c>
      <c r="Q18" s="173"/>
      <c r="R18" s="173"/>
      <c r="S18" s="124"/>
      <c r="T18" s="124"/>
      <c r="U18" s="124"/>
      <c r="V18" s="125"/>
      <c r="W18" s="131"/>
      <c r="X18" s="124"/>
      <c r="Y18" s="127"/>
      <c r="Z18" s="128"/>
      <c r="AA18" s="129"/>
      <c r="AB18" s="129"/>
    </row>
    <row r="19" spans="1:28" ht="47.25" customHeight="1" x14ac:dyDescent="0.2">
      <c r="A19" s="107" t="s">
        <v>81</v>
      </c>
      <c r="B19" s="93"/>
      <c r="C19" s="391" t="s">
        <v>213</v>
      </c>
      <c r="D19" s="571" t="s">
        <v>535</v>
      </c>
      <c r="E19" s="572"/>
      <c r="F19" s="572"/>
      <c r="G19" s="572"/>
      <c r="H19" s="572"/>
      <c r="I19" s="572"/>
      <c r="J19" s="572"/>
      <c r="K19" s="572"/>
      <c r="L19" s="572"/>
      <c r="M19" s="572"/>
      <c r="N19" s="572"/>
      <c r="O19" s="71"/>
      <c r="P19" s="95" t="str">
        <f t="shared" si="1"/>
        <v/>
      </c>
      <c r="Q19" s="173"/>
      <c r="R19" s="173"/>
      <c r="S19" s="124"/>
      <c r="T19" s="124"/>
      <c r="U19" s="124"/>
      <c r="V19" s="125"/>
      <c r="W19" s="131"/>
      <c r="X19" s="124"/>
      <c r="Y19" s="127"/>
      <c r="Z19" s="128"/>
      <c r="AA19" s="129"/>
      <c r="AB19" s="129"/>
    </row>
    <row r="20" spans="1:28" ht="22.5" customHeight="1" x14ac:dyDescent="0.2">
      <c r="A20" s="106">
        <v>1</v>
      </c>
      <c r="B20" s="93"/>
      <c r="C20" s="575" t="s">
        <v>267</v>
      </c>
      <c r="D20" s="470"/>
      <c r="E20" s="470"/>
      <c r="F20" s="470"/>
      <c r="G20" s="470"/>
      <c r="H20" s="470"/>
      <c r="I20" s="470"/>
      <c r="J20" s="470"/>
      <c r="K20" s="470"/>
      <c r="L20" s="470"/>
      <c r="M20" s="470"/>
      <c r="N20" s="470"/>
      <c r="O20"/>
      <c r="P20" s="392"/>
      <c r="Q20" s="174"/>
      <c r="R20" s="174"/>
      <c r="S20" s="124"/>
      <c r="T20" s="124"/>
      <c r="U20" s="124"/>
      <c r="V20" s="125"/>
      <c r="W20" s="131"/>
      <c r="X20" s="124"/>
      <c r="Y20" s="127"/>
      <c r="Z20" s="128"/>
      <c r="AA20" s="129"/>
      <c r="AB20" s="129"/>
    </row>
    <row r="21" spans="1:28" ht="30.75" customHeight="1" x14ac:dyDescent="0.2">
      <c r="A21" s="107" t="s">
        <v>73</v>
      </c>
      <c r="C21" s="581" t="s">
        <v>17</v>
      </c>
      <c r="D21" s="470"/>
      <c r="E21" s="470"/>
      <c r="F21" s="470"/>
      <c r="G21" s="470"/>
      <c r="H21" s="470"/>
      <c r="I21" s="470"/>
      <c r="J21" s="470"/>
      <c r="K21" s="470"/>
      <c r="L21" s="470"/>
      <c r="M21" s="470"/>
      <c r="N21" s="471"/>
      <c r="O21" s="345"/>
      <c r="P21" s="343"/>
      <c r="Q21" s="172"/>
      <c r="R21" s="172"/>
      <c r="S21" s="124"/>
      <c r="T21" s="124"/>
      <c r="U21" s="124"/>
      <c r="V21" s="125"/>
      <c r="W21" s="131"/>
      <c r="X21" s="124"/>
      <c r="Y21" s="132"/>
      <c r="Z21" s="128"/>
      <c r="AA21" s="129"/>
      <c r="AB21" s="129"/>
    </row>
    <row r="22" spans="1:28" ht="18" customHeight="1" x14ac:dyDescent="0.25">
      <c r="C22" s="100" t="s">
        <v>264</v>
      </c>
      <c r="D22" s="573" t="s">
        <v>71</v>
      </c>
      <c r="E22" s="574"/>
      <c r="F22" s="574"/>
      <c r="G22" s="574"/>
      <c r="H22" s="574"/>
      <c r="I22" s="574"/>
      <c r="J22" s="574"/>
      <c r="K22" s="574"/>
      <c r="L22" s="574"/>
      <c r="M22" s="574"/>
      <c r="N22" s="440"/>
      <c r="O22" s="101" t="s">
        <v>265</v>
      </c>
      <c r="P22" s="101" t="s">
        <v>266</v>
      </c>
      <c r="Q22" s="359"/>
      <c r="R22" s="359"/>
      <c r="S22" s="124"/>
      <c r="T22" s="124"/>
      <c r="U22" s="124"/>
      <c r="V22" s="125"/>
      <c r="W22" s="131"/>
      <c r="X22" s="124"/>
      <c r="Y22" s="127"/>
      <c r="Z22" s="128"/>
      <c r="AA22" s="129"/>
      <c r="AB22" s="129"/>
    </row>
    <row r="23" spans="1:28" ht="18" customHeight="1" x14ac:dyDescent="0.2">
      <c r="A23" s="106">
        <v>1</v>
      </c>
      <c r="C23" s="102" t="s">
        <v>215</v>
      </c>
      <c r="D23" s="567" t="s">
        <v>268</v>
      </c>
      <c r="E23" s="470"/>
      <c r="F23" s="470"/>
      <c r="G23" s="470"/>
      <c r="H23" s="470"/>
      <c r="I23" s="470"/>
      <c r="J23" s="470"/>
      <c r="K23" s="470"/>
      <c r="L23" s="470"/>
      <c r="M23" s="470"/>
      <c r="N23" s="471"/>
      <c r="O23" s="71"/>
      <c r="P23" s="95" t="str">
        <f>IF(O23="","",IF(O23="Yes","Pass",IF(O23="No","Fail","N/A")))</f>
        <v/>
      </c>
      <c r="Q23" s="173"/>
      <c r="R23" s="173"/>
      <c r="S23" s="124"/>
      <c r="T23" s="124"/>
      <c r="U23" s="124"/>
      <c r="V23" s="125"/>
      <c r="W23" s="131"/>
      <c r="X23" s="124"/>
      <c r="Y23" s="127"/>
      <c r="Z23" s="128"/>
      <c r="AA23" s="129"/>
      <c r="AB23" s="129"/>
    </row>
    <row r="24" spans="1:28" ht="45" customHeight="1" x14ac:dyDescent="0.2">
      <c r="A24" s="107" t="s">
        <v>69</v>
      </c>
      <c r="C24" s="97" t="s">
        <v>216</v>
      </c>
      <c r="D24" s="567" t="s">
        <v>269</v>
      </c>
      <c r="E24" s="470"/>
      <c r="F24" s="470"/>
      <c r="G24" s="470"/>
      <c r="H24" s="470"/>
      <c r="I24" s="470"/>
      <c r="J24" s="470"/>
      <c r="K24" s="470"/>
      <c r="L24" s="470"/>
      <c r="M24" s="470"/>
      <c r="N24" s="471"/>
      <c r="O24" s="71"/>
      <c r="P24" s="95" t="str">
        <f>IF(O24="","",IF(O24="Yes","Pass",IF(O24="No","Fail","N/A")))</f>
        <v/>
      </c>
      <c r="Q24" s="173"/>
      <c r="R24" s="173"/>
      <c r="S24" s="124"/>
      <c r="T24" s="124"/>
      <c r="U24" s="124"/>
      <c r="V24" s="125"/>
      <c r="W24" s="131"/>
      <c r="X24" s="124"/>
      <c r="Y24" s="127"/>
      <c r="Z24" s="128"/>
      <c r="AA24" s="129"/>
      <c r="AB24" s="129"/>
    </row>
    <row r="25" spans="1:28" ht="45" customHeight="1" x14ac:dyDescent="0.2">
      <c r="A25" s="107" t="s">
        <v>69</v>
      </c>
      <c r="B25" s="93"/>
      <c r="C25" s="97" t="s">
        <v>217</v>
      </c>
      <c r="D25" s="567" t="s">
        <v>270</v>
      </c>
      <c r="E25" s="470"/>
      <c r="F25" s="470"/>
      <c r="G25" s="470"/>
      <c r="H25" s="470"/>
      <c r="I25" s="470"/>
      <c r="J25" s="470"/>
      <c r="K25" s="470"/>
      <c r="L25" s="470"/>
      <c r="M25" s="470"/>
      <c r="N25" s="471"/>
      <c r="O25" s="71"/>
      <c r="P25" s="95" t="str">
        <f>IF(O25="","",IF(O25="Yes","Pass",IF(O25="No","Fail","N/A")))</f>
        <v/>
      </c>
      <c r="Q25" s="173"/>
      <c r="R25" s="173"/>
      <c r="S25" s="124"/>
      <c r="T25" s="124"/>
      <c r="U25" s="124"/>
      <c r="V25" s="125"/>
      <c r="W25" s="131"/>
      <c r="X25" s="124"/>
      <c r="Y25" s="127"/>
      <c r="Z25" s="128"/>
      <c r="AA25" s="129"/>
      <c r="AB25" s="129"/>
    </row>
    <row r="26" spans="1:28" ht="51.75" customHeight="1" x14ac:dyDescent="0.2">
      <c r="A26" s="107" t="s">
        <v>69</v>
      </c>
      <c r="B26" s="93"/>
      <c r="C26" s="97" t="s">
        <v>218</v>
      </c>
      <c r="D26" s="567" t="s">
        <v>271</v>
      </c>
      <c r="E26" s="470"/>
      <c r="F26" s="470"/>
      <c r="G26" s="470"/>
      <c r="H26" s="470"/>
      <c r="I26" s="470"/>
      <c r="J26" s="470"/>
      <c r="K26" s="470"/>
      <c r="L26" s="470"/>
      <c r="M26" s="470"/>
      <c r="N26" s="470"/>
      <c r="O26" s="71"/>
      <c r="P26" s="95" t="str">
        <f>IF(O26="","",IF(O26="Yes","Pass",IF(O26="No","Fail","N/A")))</f>
        <v/>
      </c>
      <c r="Q26" s="173"/>
      <c r="R26" s="173"/>
      <c r="S26" s="124"/>
      <c r="T26" s="124"/>
      <c r="U26" s="124"/>
      <c r="V26" s="125"/>
      <c r="W26" s="131"/>
      <c r="X26" s="124"/>
      <c r="Y26" s="127"/>
      <c r="Z26" s="128"/>
      <c r="AA26" s="129"/>
      <c r="AB26" s="129"/>
    </row>
    <row r="27" spans="1:28" ht="22.5" customHeight="1" x14ac:dyDescent="0.2">
      <c r="A27" s="106">
        <v>1</v>
      </c>
      <c r="B27" s="93"/>
      <c r="C27" s="580" t="s">
        <v>272</v>
      </c>
      <c r="D27" s="470"/>
      <c r="E27" s="470"/>
      <c r="F27" s="470"/>
      <c r="G27" s="470"/>
      <c r="H27" s="470"/>
      <c r="I27" s="470"/>
      <c r="J27" s="470"/>
      <c r="K27" s="470"/>
      <c r="L27" s="470"/>
      <c r="M27" s="470"/>
      <c r="N27" s="470"/>
      <c r="O27" s="341"/>
      <c r="Q27" s="123"/>
      <c r="R27" s="123"/>
      <c r="S27" s="124"/>
      <c r="T27" s="124"/>
      <c r="U27" s="124"/>
      <c r="V27" s="125"/>
      <c r="W27" s="131"/>
      <c r="X27" s="124"/>
      <c r="Y27" s="127"/>
      <c r="Z27" s="128"/>
      <c r="AA27" s="129"/>
      <c r="AB27" s="129"/>
    </row>
    <row r="28" spans="1:28" ht="29.25" customHeight="1" x14ac:dyDescent="0.2">
      <c r="A28" s="107" t="s">
        <v>73</v>
      </c>
      <c r="C28" s="581" t="s">
        <v>17</v>
      </c>
      <c r="D28" s="470"/>
      <c r="E28" s="470"/>
      <c r="F28" s="470"/>
      <c r="G28" s="470"/>
      <c r="H28" s="470"/>
      <c r="I28" s="470"/>
      <c r="J28" s="470"/>
      <c r="K28" s="470"/>
      <c r="L28" s="470"/>
      <c r="M28" s="470"/>
      <c r="N28" s="470"/>
      <c r="O28" s="345"/>
      <c r="P28" s="340"/>
      <c r="Q28" s="123"/>
      <c r="R28" s="123"/>
      <c r="S28" s="124"/>
      <c r="T28" s="124"/>
      <c r="U28" s="124"/>
      <c r="V28" s="125"/>
      <c r="W28" s="131"/>
      <c r="X28" s="133"/>
      <c r="Y28" s="132"/>
      <c r="Z28" s="128"/>
      <c r="AA28" s="129"/>
      <c r="AB28" s="129"/>
    </row>
    <row r="29" spans="1:28" ht="24" customHeight="1" x14ac:dyDescent="0.25">
      <c r="C29" s="100" t="s">
        <v>264</v>
      </c>
      <c r="D29" s="573" t="s">
        <v>465</v>
      </c>
      <c r="E29" s="574"/>
      <c r="F29" s="574"/>
      <c r="G29" s="574"/>
      <c r="H29" s="574"/>
      <c r="I29" s="574"/>
      <c r="J29" s="574"/>
      <c r="K29" s="574"/>
      <c r="L29" s="574"/>
      <c r="M29" s="574"/>
      <c r="N29" s="574"/>
      <c r="O29" s="101" t="s">
        <v>265</v>
      </c>
      <c r="P29" s="101" t="s">
        <v>266</v>
      </c>
      <c r="Q29" s="359"/>
      <c r="R29" s="359"/>
      <c r="S29" s="124"/>
      <c r="T29" s="124"/>
      <c r="U29" s="124"/>
      <c r="V29" s="125"/>
      <c r="W29" s="131"/>
      <c r="X29" s="133"/>
      <c r="Y29" s="132"/>
      <c r="Z29" s="128"/>
      <c r="AA29" s="129"/>
      <c r="AB29" s="129"/>
    </row>
    <row r="30" spans="1:28" ht="66" customHeight="1" x14ac:dyDescent="0.2">
      <c r="A30" s="107" t="s">
        <v>69</v>
      </c>
      <c r="C30" s="102" t="s">
        <v>466</v>
      </c>
      <c r="D30" s="567" t="s">
        <v>467</v>
      </c>
      <c r="E30" s="572"/>
      <c r="F30" s="572"/>
      <c r="G30" s="572"/>
      <c r="H30" s="572"/>
      <c r="I30" s="572"/>
      <c r="J30" s="572"/>
      <c r="K30" s="572"/>
      <c r="L30" s="572"/>
      <c r="M30" s="572"/>
      <c r="N30" s="572"/>
      <c r="O30" s="71"/>
      <c r="P30" s="95" t="str">
        <f t="shared" ref="P30:P31" si="2">IF(O30="","",IF(O30="Yes","Pass",IF(O30="No","Fail","N/A")))</f>
        <v/>
      </c>
      <c r="Q30" s="173"/>
      <c r="R30" s="173"/>
      <c r="S30" s="124"/>
      <c r="T30" s="124"/>
      <c r="U30" s="124"/>
      <c r="V30" s="125"/>
      <c r="W30" s="131"/>
      <c r="X30" s="133"/>
      <c r="Y30" s="132"/>
      <c r="Z30" s="128"/>
      <c r="AA30" s="129"/>
      <c r="AB30" s="129"/>
    </row>
    <row r="31" spans="1:28" ht="33.75" customHeight="1" x14ac:dyDescent="0.2">
      <c r="A31" s="107" t="s">
        <v>73</v>
      </c>
      <c r="B31" s="93"/>
      <c r="C31" s="102" t="s">
        <v>471</v>
      </c>
      <c r="D31" s="579" t="s">
        <v>468</v>
      </c>
      <c r="E31" s="572"/>
      <c r="F31" s="572"/>
      <c r="G31" s="572"/>
      <c r="H31" s="572"/>
      <c r="I31" s="572"/>
      <c r="J31" s="572"/>
      <c r="K31" s="572"/>
      <c r="L31" s="572"/>
      <c r="M31" s="572"/>
      <c r="N31" s="572"/>
      <c r="O31" s="71"/>
      <c r="P31" s="95" t="str">
        <f t="shared" si="2"/>
        <v/>
      </c>
      <c r="Q31" s="173"/>
      <c r="R31" s="173"/>
      <c r="S31" s="124"/>
      <c r="T31" s="124"/>
      <c r="U31" s="124"/>
      <c r="V31" s="125"/>
      <c r="W31" s="131"/>
      <c r="X31" s="133"/>
      <c r="Y31" s="132"/>
      <c r="Z31" s="128"/>
      <c r="AA31" s="129"/>
      <c r="AB31" s="129"/>
    </row>
    <row r="32" spans="1:28" ht="45" customHeight="1" x14ac:dyDescent="0.2">
      <c r="A32" s="107" t="s">
        <v>69</v>
      </c>
      <c r="B32" s="93"/>
      <c r="C32" s="102" t="s">
        <v>472</v>
      </c>
      <c r="D32" s="579" t="s">
        <v>469</v>
      </c>
      <c r="E32" s="572"/>
      <c r="F32" s="572"/>
      <c r="G32" s="572"/>
      <c r="H32" s="572"/>
      <c r="I32" s="572"/>
      <c r="J32" s="572"/>
      <c r="K32" s="572"/>
      <c r="L32" s="572"/>
      <c r="M32" s="572"/>
      <c r="N32" s="572"/>
      <c r="O32" s="71"/>
      <c r="P32" s="95" t="str">
        <f>IF(O32="","",IF(O32="Yes","Pass",IF(O32="No","Fail","N/A")))</f>
        <v/>
      </c>
      <c r="Q32" s="173"/>
      <c r="R32" s="173"/>
      <c r="S32" s="124"/>
      <c r="T32" s="124"/>
      <c r="U32" s="124"/>
      <c r="V32" s="125"/>
      <c r="W32" s="131"/>
      <c r="X32" s="133"/>
      <c r="Y32" s="132"/>
      <c r="Z32" s="128"/>
      <c r="AA32" s="129"/>
      <c r="AB32" s="129"/>
    </row>
    <row r="33" spans="1:28" ht="30" customHeight="1" x14ac:dyDescent="0.2">
      <c r="A33" s="107" t="s">
        <v>70</v>
      </c>
      <c r="B33" s="93"/>
      <c r="C33" s="102" t="s">
        <v>473</v>
      </c>
      <c r="D33" s="579" t="s">
        <v>470</v>
      </c>
      <c r="E33" s="572"/>
      <c r="F33" s="572"/>
      <c r="G33" s="572"/>
      <c r="H33" s="572"/>
      <c r="I33" s="572"/>
      <c r="J33" s="572"/>
      <c r="K33" s="572"/>
      <c r="L33" s="572"/>
      <c r="M33" s="572"/>
      <c r="N33" s="572"/>
      <c r="O33" s="71"/>
      <c r="P33" s="95" t="str">
        <f>IF(O33="","",IF(O33="Yes","Pass",IF(O33="No","Fail","N/A")))</f>
        <v/>
      </c>
      <c r="Q33" s="173"/>
      <c r="R33" s="173"/>
      <c r="S33" s="124"/>
      <c r="T33" s="124"/>
      <c r="U33" s="124"/>
      <c r="V33" s="125"/>
      <c r="W33" s="131"/>
      <c r="X33" s="133"/>
      <c r="Y33" s="132"/>
      <c r="Z33" s="128"/>
      <c r="AA33" s="129"/>
      <c r="AB33" s="129"/>
    </row>
    <row r="34" spans="1:28" ht="24" customHeight="1" x14ac:dyDescent="0.2">
      <c r="A34" s="107" t="s">
        <v>69</v>
      </c>
      <c r="B34" s="93"/>
      <c r="C34" s="580" t="s">
        <v>545</v>
      </c>
      <c r="D34" s="470"/>
      <c r="E34" s="470"/>
      <c r="F34" s="470"/>
      <c r="G34" s="470"/>
      <c r="H34" s="470"/>
      <c r="I34" s="470"/>
      <c r="J34" s="470"/>
      <c r="K34" s="470"/>
      <c r="L34" s="470"/>
      <c r="M34" s="470"/>
      <c r="N34" s="470"/>
      <c r="O34" s="341"/>
      <c r="Q34" s="359"/>
      <c r="S34" s="124"/>
      <c r="T34" s="124"/>
      <c r="U34" s="124"/>
      <c r="V34" s="125"/>
      <c r="W34" s="131"/>
      <c r="X34" s="133"/>
      <c r="Y34" s="132"/>
      <c r="Z34" s="128"/>
      <c r="AA34" s="129"/>
      <c r="AB34" s="129"/>
    </row>
    <row r="35" spans="1:28" ht="27.75" customHeight="1" x14ac:dyDescent="0.2">
      <c r="A35" s="107" t="s">
        <v>69</v>
      </c>
      <c r="B35" s="93"/>
      <c r="C35" s="581" t="s">
        <v>17</v>
      </c>
      <c r="D35" s="470"/>
      <c r="E35" s="470"/>
      <c r="F35" s="470"/>
      <c r="G35" s="470"/>
      <c r="H35" s="470"/>
      <c r="I35" s="470"/>
      <c r="J35" s="470"/>
      <c r="K35" s="470"/>
      <c r="L35" s="470"/>
      <c r="M35" s="470"/>
      <c r="N35" s="470"/>
      <c r="O35" s="345"/>
      <c r="Q35" s="173"/>
      <c r="R35"/>
      <c r="U35"/>
      <c r="V35"/>
      <c r="W35"/>
      <c r="X35"/>
      <c r="Y35"/>
      <c r="Z35"/>
      <c r="AA35"/>
      <c r="AB35"/>
    </row>
    <row r="36" spans="1:28" ht="24.75" customHeight="1" x14ac:dyDescent="0.25">
      <c r="A36" s="107" t="s">
        <v>70</v>
      </c>
      <c r="B36" s="93"/>
      <c r="C36" s="100" t="s">
        <v>264</v>
      </c>
      <c r="D36" s="573" t="s">
        <v>72</v>
      </c>
      <c r="E36" s="574"/>
      <c r="F36" s="574"/>
      <c r="G36" s="574"/>
      <c r="H36" s="574"/>
      <c r="I36" s="574"/>
      <c r="J36" s="574"/>
      <c r="K36" s="574"/>
      <c r="L36" s="574"/>
      <c r="M36" s="574"/>
      <c r="N36" s="440"/>
      <c r="O36" s="101" t="s">
        <v>265</v>
      </c>
      <c r="P36" s="101" t="s">
        <v>266</v>
      </c>
      <c r="Q36" s="173"/>
      <c r="R36"/>
      <c r="U36"/>
      <c r="V36"/>
      <c r="W36"/>
      <c r="X36"/>
      <c r="Y36"/>
      <c r="Z36"/>
      <c r="AA36"/>
      <c r="AB36"/>
    </row>
    <row r="37" spans="1:28" ht="31.5" customHeight="1" x14ac:dyDescent="0.2">
      <c r="A37" s="107" t="s">
        <v>73</v>
      </c>
      <c r="B37" s="93"/>
      <c r="C37" s="103" t="s">
        <v>220</v>
      </c>
      <c r="D37" s="445" t="s">
        <v>544</v>
      </c>
      <c r="E37" s="568"/>
      <c r="F37" s="568"/>
      <c r="G37" s="568"/>
      <c r="H37" s="568"/>
      <c r="I37" s="568"/>
      <c r="J37" s="568"/>
      <c r="K37" s="568"/>
      <c r="L37" s="568"/>
      <c r="M37" s="568"/>
      <c r="N37" s="569"/>
      <c r="O37" s="71"/>
      <c r="P37" s="95" t="str">
        <f>IF(O37="","",IF(O37="Yes","Pass",IF(O37="No","Fail","N/A")))</f>
        <v/>
      </c>
      <c r="Q37" s="173"/>
      <c r="R37"/>
      <c r="U37"/>
      <c r="V37"/>
      <c r="W37"/>
      <c r="X37"/>
      <c r="Y37"/>
      <c r="Z37"/>
      <c r="AA37"/>
      <c r="AB37"/>
    </row>
    <row r="38" spans="1:28" ht="30" customHeight="1" x14ac:dyDescent="0.2">
      <c r="A38" s="107" t="s">
        <v>70</v>
      </c>
      <c r="B38" s="93"/>
      <c r="C38" s="185"/>
      <c r="D38" s="296" t="s">
        <v>351</v>
      </c>
      <c r="E38" s="297"/>
      <c r="F38" s="298"/>
      <c r="G38" s="299"/>
      <c r="I38" s="300" t="s">
        <v>352</v>
      </c>
      <c r="J38" s="299"/>
      <c r="K38" s="301" t="s">
        <v>353</v>
      </c>
      <c r="L38" s="191"/>
      <c r="M38" s="302"/>
      <c r="N38" s="303" t="e">
        <f>J38/G38</f>
        <v>#DIV/0!</v>
      </c>
      <c r="Q38" s="173"/>
      <c r="R38"/>
      <c r="U38"/>
      <c r="V38"/>
      <c r="W38"/>
      <c r="X38"/>
      <c r="Y38"/>
      <c r="Z38"/>
      <c r="AA38"/>
      <c r="AB38"/>
    </row>
    <row r="39" spans="1:28" ht="38.25" customHeight="1" x14ac:dyDescent="0.2">
      <c r="A39" s="107" t="s">
        <v>73</v>
      </c>
      <c r="B39" s="93"/>
      <c r="C39" s="97" t="s">
        <v>133</v>
      </c>
      <c r="D39" s="579" t="s">
        <v>645</v>
      </c>
      <c r="E39" s="572"/>
      <c r="F39" s="572"/>
      <c r="G39" s="572"/>
      <c r="H39" s="572"/>
      <c r="I39" s="572"/>
      <c r="J39" s="572"/>
      <c r="K39" s="572"/>
      <c r="L39" s="572"/>
      <c r="M39" s="572"/>
      <c r="N39" s="572"/>
      <c r="O39" s="71"/>
      <c r="P39" s="95" t="str">
        <f t="shared" ref="P39:P49" si="3">IF(O39="","",IF(O39="Yes","Pass",IF(O39="No","Fail","N/A")))</f>
        <v/>
      </c>
      <c r="Q39" s="173"/>
      <c r="R39"/>
      <c r="U39"/>
      <c r="V39"/>
      <c r="W39"/>
      <c r="X39"/>
      <c r="Y39"/>
      <c r="Z39"/>
      <c r="AA39"/>
      <c r="AB39"/>
    </row>
    <row r="40" spans="1:28" ht="30" customHeight="1" x14ac:dyDescent="0.2">
      <c r="A40" s="107" t="s">
        <v>70</v>
      </c>
      <c r="B40" s="93"/>
      <c r="C40" s="97" t="s">
        <v>221</v>
      </c>
      <c r="D40" s="579" t="s">
        <v>536</v>
      </c>
      <c r="E40" s="470"/>
      <c r="F40" s="470"/>
      <c r="G40" s="470"/>
      <c r="H40" s="470"/>
      <c r="I40" s="470"/>
      <c r="J40" s="470"/>
      <c r="K40" s="470"/>
      <c r="L40" s="470"/>
      <c r="M40" s="470"/>
      <c r="N40" s="470"/>
      <c r="O40" s="71"/>
      <c r="P40" s="95" t="str">
        <f t="shared" si="3"/>
        <v/>
      </c>
      <c r="Q40" s="173"/>
      <c r="R40"/>
      <c r="U40"/>
      <c r="V40"/>
      <c r="W40"/>
      <c r="X40"/>
      <c r="Y40"/>
      <c r="Z40"/>
      <c r="AA40"/>
      <c r="AB40"/>
    </row>
    <row r="41" spans="1:28" ht="41.25" customHeight="1" x14ac:dyDescent="0.2">
      <c r="A41" s="107">
        <v>1</v>
      </c>
      <c r="B41" s="93"/>
      <c r="C41" s="103" t="s">
        <v>222</v>
      </c>
      <c r="D41" s="445" t="s">
        <v>537</v>
      </c>
      <c r="E41" s="568"/>
      <c r="F41" s="568"/>
      <c r="G41" s="568"/>
      <c r="H41" s="568"/>
      <c r="I41" s="568"/>
      <c r="J41" s="568"/>
      <c r="K41" s="568"/>
      <c r="L41" s="568"/>
      <c r="M41" s="568"/>
      <c r="N41" s="569"/>
      <c r="O41" s="71"/>
      <c r="P41" s="95" t="str">
        <f t="shared" si="3"/>
        <v/>
      </c>
      <c r="Q41" s="173"/>
      <c r="R41"/>
      <c r="U41"/>
      <c r="V41"/>
      <c r="W41"/>
      <c r="X41"/>
      <c r="Y41"/>
      <c r="Z41"/>
      <c r="AA41"/>
      <c r="AB41"/>
    </row>
    <row r="42" spans="1:28" ht="34.5" customHeight="1" x14ac:dyDescent="0.2">
      <c r="A42" s="107"/>
      <c r="B42" s="93"/>
      <c r="C42" s="97" t="s">
        <v>223</v>
      </c>
      <c r="D42" s="445" t="s">
        <v>538</v>
      </c>
      <c r="E42" s="568"/>
      <c r="F42" s="568"/>
      <c r="G42" s="568"/>
      <c r="H42" s="568"/>
      <c r="I42" s="568"/>
      <c r="J42" s="568"/>
      <c r="K42" s="568"/>
      <c r="L42" s="568"/>
      <c r="M42" s="568"/>
      <c r="N42" s="569"/>
      <c r="O42" s="71"/>
      <c r="P42" s="95" t="str">
        <f t="shared" si="3"/>
        <v/>
      </c>
      <c r="Q42" s="173"/>
      <c r="R42"/>
      <c r="U42"/>
      <c r="V42"/>
      <c r="W42"/>
      <c r="X42"/>
      <c r="Y42"/>
      <c r="Z42"/>
      <c r="AA42"/>
      <c r="AB42"/>
    </row>
    <row r="43" spans="1:28" ht="33" customHeight="1" x14ac:dyDescent="0.2">
      <c r="A43" s="106">
        <v>1</v>
      </c>
      <c r="B43" s="93"/>
      <c r="C43" s="97" t="s">
        <v>224</v>
      </c>
      <c r="D43" s="445" t="s">
        <v>273</v>
      </c>
      <c r="E43" s="568"/>
      <c r="F43" s="568"/>
      <c r="G43" s="568"/>
      <c r="H43" s="568"/>
      <c r="I43" s="568"/>
      <c r="J43" s="568"/>
      <c r="K43" s="568"/>
      <c r="L43" s="568"/>
      <c r="M43" s="568"/>
      <c r="N43" s="569"/>
      <c r="O43" s="71"/>
      <c r="P43" s="95" t="str">
        <f t="shared" si="3"/>
        <v/>
      </c>
      <c r="Q43" s="173"/>
      <c r="R43"/>
      <c r="U43"/>
      <c r="V43"/>
      <c r="W43"/>
      <c r="X43"/>
      <c r="Y43"/>
      <c r="Z43"/>
      <c r="AA43"/>
      <c r="AB43"/>
    </row>
    <row r="44" spans="1:28" ht="35.25" customHeight="1" x14ac:dyDescent="0.2">
      <c r="A44" s="107" t="s">
        <v>73</v>
      </c>
      <c r="C44" s="103" t="s">
        <v>225</v>
      </c>
      <c r="D44" s="567" t="s">
        <v>274</v>
      </c>
      <c r="E44" s="470"/>
      <c r="F44" s="470"/>
      <c r="G44" s="470"/>
      <c r="H44" s="470"/>
      <c r="I44" s="470"/>
      <c r="J44" s="470"/>
      <c r="K44" s="470"/>
      <c r="L44" s="470"/>
      <c r="M44" s="470"/>
      <c r="N44" s="470"/>
      <c r="O44" s="71"/>
      <c r="P44" s="95" t="str">
        <f t="shared" si="3"/>
        <v/>
      </c>
      <c r="Q44" s="173"/>
      <c r="R44"/>
      <c r="U44"/>
      <c r="V44"/>
      <c r="W44"/>
      <c r="X44"/>
      <c r="Y44"/>
      <c r="Z44"/>
      <c r="AA44"/>
      <c r="AB44"/>
    </row>
    <row r="45" spans="1:28" ht="35.25" customHeight="1" x14ac:dyDescent="0.2">
      <c r="B45" s="93"/>
      <c r="C45" s="97" t="s">
        <v>226</v>
      </c>
      <c r="D45" s="445" t="s">
        <v>275</v>
      </c>
      <c r="E45" s="568"/>
      <c r="F45" s="568"/>
      <c r="G45" s="568"/>
      <c r="H45" s="568"/>
      <c r="I45" s="568"/>
      <c r="J45" s="568"/>
      <c r="K45" s="568"/>
      <c r="L45" s="568"/>
      <c r="M45" s="568"/>
      <c r="N45" s="569"/>
      <c r="O45" s="71"/>
      <c r="P45" s="95" t="str">
        <f t="shared" si="3"/>
        <v/>
      </c>
      <c r="Q45" s="173"/>
      <c r="R45"/>
      <c r="U45"/>
      <c r="V45"/>
      <c r="W45"/>
      <c r="X45"/>
      <c r="Y45"/>
      <c r="Z45"/>
      <c r="AA45"/>
      <c r="AB45"/>
    </row>
    <row r="46" spans="1:28" ht="18" customHeight="1" x14ac:dyDescent="0.2">
      <c r="C46" s="97" t="s">
        <v>227</v>
      </c>
      <c r="D46" s="445" t="s">
        <v>276</v>
      </c>
      <c r="E46" s="570"/>
      <c r="F46" s="570"/>
      <c r="G46" s="570"/>
      <c r="H46" s="570"/>
      <c r="I46" s="570"/>
      <c r="J46" s="570"/>
      <c r="K46" s="570"/>
      <c r="L46" s="570"/>
      <c r="M46" s="570"/>
      <c r="N46" s="570"/>
      <c r="O46" s="71"/>
      <c r="P46" s="95" t="str">
        <f t="shared" si="3"/>
        <v/>
      </c>
      <c r="Q46" s="173"/>
      <c r="R46"/>
      <c r="U46"/>
      <c r="V46"/>
      <c r="W46"/>
      <c r="X46"/>
      <c r="Y46"/>
      <c r="Z46"/>
      <c r="AA46"/>
      <c r="AB46"/>
    </row>
    <row r="47" spans="1:28" ht="35.25" customHeight="1" x14ac:dyDescent="0.2">
      <c r="A47" s="106">
        <v>1</v>
      </c>
      <c r="C47" s="103" t="s">
        <v>228</v>
      </c>
      <c r="D47" s="445" t="s">
        <v>277</v>
      </c>
      <c r="E47" s="568"/>
      <c r="F47" s="568"/>
      <c r="G47" s="568"/>
      <c r="H47" s="568"/>
      <c r="I47" s="568"/>
      <c r="J47" s="568"/>
      <c r="K47" s="568"/>
      <c r="L47" s="568"/>
      <c r="M47" s="568"/>
      <c r="N47" s="569"/>
      <c r="O47" s="71"/>
      <c r="P47" s="95" t="str">
        <f t="shared" si="3"/>
        <v/>
      </c>
      <c r="R47"/>
      <c r="U47"/>
      <c r="V47"/>
      <c r="W47"/>
      <c r="X47"/>
      <c r="Y47"/>
      <c r="Z47"/>
      <c r="AA47"/>
      <c r="AB47"/>
    </row>
    <row r="48" spans="1:28" ht="57.75" customHeight="1" x14ac:dyDescent="0.2">
      <c r="A48" s="107" t="s">
        <v>69</v>
      </c>
      <c r="C48" s="97" t="s">
        <v>229</v>
      </c>
      <c r="D48" s="565" t="s">
        <v>539</v>
      </c>
      <c r="E48" s="566"/>
      <c r="F48" s="566"/>
      <c r="G48" s="566"/>
      <c r="H48" s="566"/>
      <c r="I48" s="566"/>
      <c r="J48" s="566"/>
      <c r="K48" s="566"/>
      <c r="L48" s="566"/>
      <c r="M48" s="566"/>
      <c r="N48" s="566"/>
      <c r="O48" s="71"/>
      <c r="P48" s="95" t="str">
        <f t="shared" si="3"/>
        <v/>
      </c>
      <c r="Q48" s="171"/>
      <c r="R48"/>
      <c r="U48"/>
      <c r="V48"/>
      <c r="W48"/>
      <c r="X48"/>
      <c r="Y48"/>
      <c r="Z48"/>
      <c r="AA48"/>
      <c r="AB48"/>
    </row>
    <row r="49" spans="1:28" ht="39" customHeight="1" x14ac:dyDescent="0.2">
      <c r="A49" s="106">
        <v>1</v>
      </c>
      <c r="B49" s="93"/>
      <c r="C49" s="97" t="s">
        <v>230</v>
      </c>
      <c r="D49" s="567" t="s">
        <v>540</v>
      </c>
      <c r="E49" s="470"/>
      <c r="F49" s="470"/>
      <c r="G49" s="470"/>
      <c r="H49" s="470"/>
      <c r="I49" s="470"/>
      <c r="J49" s="470"/>
      <c r="K49" s="470"/>
      <c r="L49" s="470"/>
      <c r="M49" s="470"/>
      <c r="N49" s="471"/>
      <c r="O49" s="71"/>
      <c r="P49" s="95" t="str">
        <f t="shared" si="3"/>
        <v/>
      </c>
      <c r="Q49" s="123"/>
      <c r="R49"/>
      <c r="U49"/>
      <c r="V49"/>
      <c r="W49"/>
      <c r="X49"/>
      <c r="Y49"/>
      <c r="Z49"/>
      <c r="AA49"/>
      <c r="AB49"/>
    </row>
    <row r="50" spans="1:28" ht="19.5" customHeight="1" x14ac:dyDescent="0.2">
      <c r="A50" s="107" t="s">
        <v>73</v>
      </c>
      <c r="C50" s="580" t="s">
        <v>278</v>
      </c>
      <c r="D50" s="470"/>
      <c r="E50" s="470"/>
      <c r="F50" s="470"/>
      <c r="G50" s="470"/>
      <c r="H50" s="470"/>
      <c r="I50" s="470"/>
      <c r="J50" s="470"/>
      <c r="K50" s="470"/>
      <c r="L50" s="470"/>
      <c r="M50" s="470"/>
      <c r="N50" s="470"/>
      <c r="O50" s="347"/>
      <c r="P50" s="344"/>
      <c r="Q50" s="99"/>
      <c r="R50"/>
      <c r="U50"/>
      <c r="V50"/>
      <c r="W50"/>
      <c r="X50"/>
      <c r="Y50"/>
      <c r="Z50"/>
      <c r="AA50"/>
      <c r="AB50"/>
    </row>
    <row r="51" spans="1:28" ht="25.5" customHeight="1" x14ac:dyDescent="0.2">
      <c r="A51" s="107" t="s">
        <v>69</v>
      </c>
      <c r="B51" s="93"/>
      <c r="C51" s="581" t="s">
        <v>17</v>
      </c>
      <c r="D51" s="470"/>
      <c r="E51" s="470"/>
      <c r="F51" s="470"/>
      <c r="G51" s="470"/>
      <c r="H51" s="470"/>
      <c r="I51" s="470"/>
      <c r="J51" s="470"/>
      <c r="K51" s="470"/>
      <c r="L51" s="470"/>
      <c r="M51" s="470"/>
      <c r="N51" s="470"/>
      <c r="O51" s="345"/>
      <c r="Q51" s="359"/>
      <c r="R51"/>
      <c r="U51"/>
      <c r="V51"/>
      <c r="W51"/>
      <c r="X51"/>
      <c r="Y51"/>
      <c r="Z51"/>
      <c r="AA51"/>
      <c r="AB51"/>
    </row>
    <row r="52" spans="1:28" ht="21.75" customHeight="1" x14ac:dyDescent="0.25">
      <c r="A52" s="106">
        <v>1</v>
      </c>
      <c r="B52" s="93"/>
      <c r="C52" s="100" t="s">
        <v>264</v>
      </c>
      <c r="D52" s="576" t="s">
        <v>74</v>
      </c>
      <c r="E52" s="577"/>
      <c r="F52" s="577"/>
      <c r="G52" s="577"/>
      <c r="H52" s="577"/>
      <c r="I52" s="577"/>
      <c r="J52" s="577"/>
      <c r="K52" s="577"/>
      <c r="L52" s="577"/>
      <c r="M52" s="577"/>
      <c r="N52" s="578"/>
      <c r="O52" s="101" t="s">
        <v>265</v>
      </c>
      <c r="P52" s="101" t="s">
        <v>266</v>
      </c>
      <c r="Q52" s="173"/>
      <c r="R52"/>
      <c r="U52"/>
      <c r="V52"/>
      <c r="W52"/>
      <c r="X52"/>
      <c r="Y52"/>
      <c r="Z52"/>
      <c r="AA52"/>
      <c r="AB52"/>
    </row>
    <row r="53" spans="1:28" ht="34.5" customHeight="1" x14ac:dyDescent="0.2">
      <c r="A53" s="106">
        <v>1</v>
      </c>
      <c r="C53" s="94" t="s">
        <v>232</v>
      </c>
      <c r="D53" s="601" t="s">
        <v>279</v>
      </c>
      <c r="E53" s="595"/>
      <c r="F53" s="595"/>
      <c r="G53" s="595"/>
      <c r="H53" s="595"/>
      <c r="I53" s="595"/>
      <c r="J53" s="595"/>
      <c r="K53" s="595"/>
      <c r="L53" s="595"/>
      <c r="M53" s="595"/>
      <c r="N53" s="595"/>
      <c r="O53" s="71"/>
      <c r="P53" s="95" t="str">
        <f t="shared" ref="P53:P60" si="4">IF(O53="","",IF(O53="Yes","Pass",IF(O53="No","Fail","N/A")))</f>
        <v/>
      </c>
      <c r="Q53" s="173"/>
      <c r="R53"/>
      <c r="U53"/>
      <c r="V53"/>
      <c r="W53"/>
      <c r="X53"/>
      <c r="Y53"/>
      <c r="Z53"/>
      <c r="AA53"/>
      <c r="AB53"/>
    </row>
    <row r="54" spans="1:28" ht="60.75" customHeight="1" x14ac:dyDescent="0.2">
      <c r="A54" s="106">
        <v>1</v>
      </c>
      <c r="C54" s="94" t="s">
        <v>233</v>
      </c>
      <c r="D54" s="601" t="s">
        <v>457</v>
      </c>
      <c r="E54" s="605"/>
      <c r="F54" s="605"/>
      <c r="G54" s="605"/>
      <c r="H54" s="605"/>
      <c r="I54" s="605"/>
      <c r="J54" s="605"/>
      <c r="K54" s="605"/>
      <c r="L54" s="605"/>
      <c r="M54" s="605"/>
      <c r="N54" s="606"/>
      <c r="O54" s="71"/>
      <c r="P54" s="95" t="str">
        <f t="shared" si="4"/>
        <v/>
      </c>
      <c r="Q54" s="173"/>
      <c r="R54"/>
      <c r="U54"/>
      <c r="V54"/>
      <c r="W54"/>
      <c r="X54"/>
      <c r="Y54"/>
      <c r="Z54"/>
      <c r="AA54"/>
      <c r="AB54"/>
    </row>
    <row r="55" spans="1:28" ht="38.25" customHeight="1" x14ac:dyDescent="0.2">
      <c r="A55" s="106">
        <v>1</v>
      </c>
      <c r="B55" s="107" t="s">
        <v>70</v>
      </c>
      <c r="C55" s="94" t="s">
        <v>458</v>
      </c>
      <c r="D55" s="602" t="s">
        <v>454</v>
      </c>
      <c r="E55" s="603"/>
      <c r="F55" s="603"/>
      <c r="G55" s="603"/>
      <c r="H55" s="603"/>
      <c r="I55" s="603"/>
      <c r="J55" s="603"/>
      <c r="K55" s="603"/>
      <c r="L55" s="603"/>
      <c r="M55" s="603"/>
      <c r="N55" s="604"/>
      <c r="O55" s="71"/>
      <c r="P55" s="95" t="str">
        <f t="shared" si="4"/>
        <v/>
      </c>
      <c r="Q55" s="173"/>
      <c r="R55"/>
      <c r="U55"/>
      <c r="V55"/>
      <c r="W55"/>
      <c r="X55"/>
      <c r="Y55"/>
      <c r="Z55"/>
      <c r="AA55"/>
      <c r="AB55"/>
    </row>
    <row r="56" spans="1:28" ht="68.25" customHeight="1" x14ac:dyDescent="0.2">
      <c r="A56" s="107" t="s">
        <v>73</v>
      </c>
      <c r="C56" s="94" t="s">
        <v>234</v>
      </c>
      <c r="D56" s="594" t="s">
        <v>541</v>
      </c>
      <c r="E56" s="595"/>
      <c r="F56" s="595"/>
      <c r="G56" s="595"/>
      <c r="H56" s="595"/>
      <c r="I56" s="595"/>
      <c r="J56" s="595"/>
      <c r="K56" s="595"/>
      <c r="L56" s="595"/>
      <c r="M56" s="595"/>
      <c r="N56" s="596"/>
      <c r="O56" s="71"/>
      <c r="P56" s="95" t="str">
        <f t="shared" si="4"/>
        <v/>
      </c>
      <c r="Q56" s="173"/>
      <c r="R56"/>
      <c r="U56"/>
      <c r="V56"/>
      <c r="W56"/>
      <c r="X56"/>
      <c r="Y56"/>
      <c r="Z56"/>
      <c r="AA56"/>
      <c r="AB56"/>
    </row>
    <row r="57" spans="1:28" ht="31.5" customHeight="1" x14ac:dyDescent="0.2">
      <c r="B57" s="93"/>
      <c r="C57" s="94" t="s">
        <v>235</v>
      </c>
      <c r="D57" s="602" t="s">
        <v>459</v>
      </c>
      <c r="E57" s="603"/>
      <c r="F57" s="603"/>
      <c r="G57" s="603"/>
      <c r="H57" s="603"/>
      <c r="I57" s="603"/>
      <c r="J57" s="603"/>
      <c r="K57" s="603"/>
      <c r="L57" s="603"/>
      <c r="M57" s="603"/>
      <c r="N57" s="604"/>
      <c r="O57" s="71"/>
      <c r="P57" s="95" t="str">
        <f t="shared" si="4"/>
        <v/>
      </c>
      <c r="Q57" s="173"/>
      <c r="R57"/>
      <c r="U57"/>
      <c r="V57"/>
      <c r="W57"/>
      <c r="X57"/>
      <c r="Y57"/>
      <c r="Z57"/>
      <c r="AA57"/>
      <c r="AB57"/>
    </row>
    <row r="58" spans="1:28" ht="40.5" customHeight="1" x14ac:dyDescent="0.2">
      <c r="C58" s="104" t="s">
        <v>460</v>
      </c>
      <c r="D58" s="597" t="s">
        <v>455</v>
      </c>
      <c r="E58" s="595"/>
      <c r="F58" s="595"/>
      <c r="G58" s="595"/>
      <c r="H58" s="595"/>
      <c r="I58" s="595"/>
      <c r="J58" s="595"/>
      <c r="K58" s="595"/>
      <c r="L58" s="595"/>
      <c r="M58" s="595"/>
      <c r="N58" s="596"/>
      <c r="O58" s="71"/>
      <c r="P58" s="95" t="str">
        <f t="shared" si="4"/>
        <v/>
      </c>
      <c r="Q58" s="173"/>
      <c r="R58"/>
      <c r="U58"/>
      <c r="V58"/>
      <c r="W58"/>
      <c r="X58"/>
      <c r="Y58"/>
      <c r="Z58"/>
      <c r="AA58"/>
      <c r="AB58"/>
    </row>
    <row r="59" spans="1:28" ht="30" customHeight="1" x14ac:dyDescent="0.2">
      <c r="A59" s="107" t="s">
        <v>70</v>
      </c>
      <c r="C59" s="104" t="s">
        <v>236</v>
      </c>
      <c r="D59" s="598" t="s">
        <v>456</v>
      </c>
      <c r="E59" s="599"/>
      <c r="F59" s="599"/>
      <c r="G59" s="599"/>
      <c r="H59" s="599"/>
      <c r="I59" s="599"/>
      <c r="J59" s="599"/>
      <c r="K59" s="599"/>
      <c r="L59" s="599"/>
      <c r="M59" s="599"/>
      <c r="N59" s="600"/>
      <c r="O59" s="71"/>
      <c r="P59" s="95" t="str">
        <f t="shared" si="4"/>
        <v/>
      </c>
      <c r="Q59" s="173"/>
      <c r="R59"/>
      <c r="U59"/>
      <c r="V59"/>
      <c r="W59"/>
      <c r="X59"/>
      <c r="Y59"/>
      <c r="Z59"/>
      <c r="AA59"/>
      <c r="AB59"/>
    </row>
    <row r="60" spans="1:28" ht="30" customHeight="1" x14ac:dyDescent="0.2">
      <c r="A60" s="107" t="s">
        <v>70</v>
      </c>
      <c r="B60" s="93"/>
      <c r="C60" s="104" t="s">
        <v>237</v>
      </c>
      <c r="D60" s="598" t="s">
        <v>280</v>
      </c>
      <c r="E60" s="599"/>
      <c r="F60" s="599"/>
      <c r="G60" s="599"/>
      <c r="H60" s="599"/>
      <c r="I60" s="599"/>
      <c r="J60" s="599"/>
      <c r="K60" s="599"/>
      <c r="L60" s="599"/>
      <c r="M60" s="599"/>
      <c r="N60" s="600"/>
      <c r="O60" s="71"/>
      <c r="P60" s="95" t="str">
        <f t="shared" si="4"/>
        <v/>
      </c>
      <c r="Q60" s="171"/>
      <c r="R60"/>
      <c r="U60"/>
      <c r="V60"/>
      <c r="W60"/>
      <c r="X60"/>
      <c r="Y60"/>
      <c r="Z60"/>
      <c r="AA60"/>
      <c r="AB60"/>
    </row>
    <row r="61" spans="1:28" ht="22.5" customHeight="1" x14ac:dyDescent="0.2">
      <c r="A61" s="107" t="s">
        <v>69</v>
      </c>
      <c r="B61" s="107" t="s">
        <v>69</v>
      </c>
      <c r="C61" s="580" t="s">
        <v>281</v>
      </c>
      <c r="D61" s="470"/>
      <c r="E61" s="470"/>
      <c r="F61" s="470"/>
      <c r="G61" s="470"/>
      <c r="H61" s="470"/>
      <c r="I61" s="470"/>
      <c r="J61" s="470"/>
      <c r="K61" s="470"/>
      <c r="L61" s="470"/>
      <c r="M61" s="470"/>
      <c r="N61" s="470"/>
      <c r="O61" s="347"/>
      <c r="P61" s="345"/>
      <c r="Q61" s="172"/>
      <c r="R61"/>
      <c r="U61"/>
      <c r="V61"/>
      <c r="W61"/>
      <c r="X61"/>
      <c r="Y61"/>
      <c r="Z61"/>
      <c r="AA61"/>
      <c r="AB61"/>
    </row>
    <row r="62" spans="1:28" ht="28.5" customHeight="1" x14ac:dyDescent="0.2">
      <c r="A62" s="107"/>
      <c r="B62" s="147"/>
      <c r="C62" s="581" t="s">
        <v>17</v>
      </c>
      <c r="D62" s="470"/>
      <c r="E62" s="470"/>
      <c r="F62" s="470"/>
      <c r="G62" s="470"/>
      <c r="H62" s="470"/>
      <c r="I62" s="470"/>
      <c r="J62" s="470"/>
      <c r="K62" s="470"/>
      <c r="L62" s="470"/>
      <c r="M62" s="470"/>
      <c r="N62" s="470"/>
      <c r="O62" s="345"/>
      <c r="Q62" s="171"/>
      <c r="R62"/>
      <c r="U62"/>
      <c r="V62"/>
      <c r="W62"/>
      <c r="X62"/>
      <c r="Y62"/>
      <c r="Z62"/>
      <c r="AA62"/>
      <c r="AB62"/>
    </row>
    <row r="63" spans="1:28" ht="30" customHeight="1" x14ac:dyDescent="0.25">
      <c r="A63" s="107" t="s">
        <v>70</v>
      </c>
      <c r="B63" s="93"/>
      <c r="C63" s="100" t="s">
        <v>264</v>
      </c>
      <c r="D63" s="573" t="s">
        <v>75</v>
      </c>
      <c r="E63" s="574"/>
      <c r="F63" s="574"/>
      <c r="G63" s="574"/>
      <c r="H63" s="574"/>
      <c r="I63" s="574"/>
      <c r="J63" s="574"/>
      <c r="K63" s="574"/>
      <c r="L63" s="574"/>
      <c r="M63" s="574"/>
      <c r="N63" s="440"/>
      <c r="O63" s="101" t="s">
        <v>265</v>
      </c>
      <c r="P63" s="101" t="s">
        <v>266</v>
      </c>
      <c r="Q63" s="359"/>
      <c r="R63"/>
      <c r="U63"/>
      <c r="V63"/>
      <c r="W63"/>
      <c r="X63"/>
      <c r="Y63"/>
      <c r="Z63"/>
      <c r="AA63"/>
      <c r="AB63"/>
    </row>
    <row r="64" spans="1:28" ht="30" customHeight="1" x14ac:dyDescent="0.2">
      <c r="A64" s="107" t="s">
        <v>70</v>
      </c>
      <c r="B64" s="93"/>
      <c r="C64" s="94" t="s">
        <v>239</v>
      </c>
      <c r="D64" s="567" t="s">
        <v>461</v>
      </c>
      <c r="E64" s="470"/>
      <c r="F64" s="470"/>
      <c r="G64" s="470"/>
      <c r="H64" s="470"/>
      <c r="I64" s="470"/>
      <c r="J64" s="470"/>
      <c r="K64" s="470"/>
      <c r="L64" s="470"/>
      <c r="M64" s="470"/>
      <c r="N64" s="471"/>
      <c r="O64" s="71"/>
      <c r="P64" s="95" t="str">
        <f t="shared" ref="P64:P69" si="5">IF(O64="","",IF(O64="Yes","Pass",IF(O64="No","Fail","N/A")))</f>
        <v/>
      </c>
      <c r="Q64" s="173"/>
      <c r="R64"/>
      <c r="U64"/>
      <c r="V64"/>
      <c r="W64"/>
      <c r="X64"/>
      <c r="Y64"/>
      <c r="Z64"/>
      <c r="AA64"/>
      <c r="AB64"/>
    </row>
    <row r="65" spans="1:28" ht="33.75" customHeight="1" x14ac:dyDescent="0.2">
      <c r="A65" s="107" t="s">
        <v>76</v>
      </c>
      <c r="B65" s="93"/>
      <c r="C65" s="94" t="s">
        <v>240</v>
      </c>
      <c r="D65" s="567" t="s">
        <v>282</v>
      </c>
      <c r="E65" s="470"/>
      <c r="F65" s="470"/>
      <c r="G65" s="470"/>
      <c r="H65" s="470"/>
      <c r="I65" s="470"/>
      <c r="J65" s="470"/>
      <c r="K65" s="470"/>
      <c r="L65" s="470"/>
      <c r="M65" s="470"/>
      <c r="N65" s="471"/>
      <c r="O65" s="71"/>
      <c r="P65" s="95" t="str">
        <f t="shared" si="5"/>
        <v/>
      </c>
      <c r="Q65" s="173"/>
      <c r="R65"/>
      <c r="U65"/>
      <c r="V65"/>
      <c r="W65"/>
      <c r="X65"/>
      <c r="Y65"/>
      <c r="Z65"/>
      <c r="AA65"/>
      <c r="AB65"/>
    </row>
    <row r="66" spans="1:28" ht="49.5" customHeight="1" x14ac:dyDescent="0.2">
      <c r="A66" s="106">
        <v>1</v>
      </c>
      <c r="B66" s="93"/>
      <c r="C66" s="94" t="s">
        <v>241</v>
      </c>
      <c r="D66" s="567" t="s">
        <v>462</v>
      </c>
      <c r="E66" s="470"/>
      <c r="F66" s="470"/>
      <c r="G66" s="470"/>
      <c r="H66" s="470"/>
      <c r="I66" s="470"/>
      <c r="J66" s="470"/>
      <c r="K66" s="470"/>
      <c r="L66" s="470"/>
      <c r="M66" s="470"/>
      <c r="N66" s="471"/>
      <c r="O66" s="71"/>
      <c r="P66" s="95" t="str">
        <f t="shared" si="5"/>
        <v/>
      </c>
      <c r="Q66" s="173"/>
      <c r="R66"/>
      <c r="U66"/>
      <c r="V66"/>
      <c r="W66"/>
      <c r="X66"/>
      <c r="Y66"/>
      <c r="Z66"/>
      <c r="AA66"/>
      <c r="AB66"/>
    </row>
    <row r="67" spans="1:28" ht="35.25" customHeight="1" x14ac:dyDescent="0.2">
      <c r="A67" s="107" t="s">
        <v>73</v>
      </c>
      <c r="C67" s="148" t="s">
        <v>542</v>
      </c>
      <c r="D67" s="593" t="s">
        <v>464</v>
      </c>
      <c r="E67" s="470"/>
      <c r="F67" s="470"/>
      <c r="G67" s="470"/>
      <c r="H67" s="470"/>
      <c r="I67" s="470"/>
      <c r="J67" s="470"/>
      <c r="K67" s="470"/>
      <c r="L67" s="470"/>
      <c r="M67" s="470"/>
      <c r="N67" s="470"/>
      <c r="O67" s="71"/>
      <c r="P67" s="95" t="str">
        <f t="shared" si="5"/>
        <v/>
      </c>
      <c r="Q67" s="173"/>
      <c r="R67"/>
      <c r="U67"/>
      <c r="V67"/>
      <c r="W67"/>
      <c r="X67"/>
      <c r="Y67"/>
      <c r="Z67"/>
      <c r="AA67"/>
      <c r="AB67"/>
    </row>
    <row r="68" spans="1:28" ht="36" customHeight="1" x14ac:dyDescent="0.2">
      <c r="B68" s="93"/>
      <c r="C68" s="94" t="s">
        <v>242</v>
      </c>
      <c r="D68" s="469" t="s">
        <v>546</v>
      </c>
      <c r="E68" s="470"/>
      <c r="F68" s="470"/>
      <c r="G68" s="470"/>
      <c r="H68" s="470"/>
      <c r="I68" s="470"/>
      <c r="J68" s="470"/>
      <c r="K68" s="470"/>
      <c r="L68" s="470"/>
      <c r="M68" s="470"/>
      <c r="N68" s="471"/>
      <c r="O68" s="71"/>
      <c r="P68" s="95" t="str">
        <f t="shared" si="5"/>
        <v/>
      </c>
      <c r="Q68" s="173"/>
      <c r="R68"/>
      <c r="U68"/>
      <c r="V68"/>
      <c r="W68"/>
      <c r="X68"/>
      <c r="Y68"/>
      <c r="Z68"/>
      <c r="AA68"/>
      <c r="AB68"/>
    </row>
    <row r="69" spans="1:28" ht="52.5" customHeight="1" x14ac:dyDescent="0.2">
      <c r="C69" s="94" t="s">
        <v>243</v>
      </c>
      <c r="D69" s="469" t="s">
        <v>547</v>
      </c>
      <c r="E69" s="470"/>
      <c r="F69" s="470"/>
      <c r="G69" s="470"/>
      <c r="H69" s="470"/>
      <c r="I69" s="470"/>
      <c r="J69" s="470"/>
      <c r="K69" s="470"/>
      <c r="L69" s="470"/>
      <c r="M69" s="470"/>
      <c r="N69" s="471"/>
      <c r="O69" s="71"/>
      <c r="P69" s="95" t="str">
        <f t="shared" si="5"/>
        <v/>
      </c>
      <c r="Q69" s="173"/>
      <c r="R69"/>
      <c r="U69"/>
      <c r="V69"/>
      <c r="W69"/>
      <c r="X69"/>
      <c r="Y69"/>
      <c r="Z69"/>
      <c r="AA69"/>
      <c r="AB69"/>
    </row>
    <row r="70" spans="1:28" ht="21" customHeight="1" x14ac:dyDescent="0.25">
      <c r="A70" s="107" t="s">
        <v>70</v>
      </c>
      <c r="C70" s="608" t="s">
        <v>283</v>
      </c>
      <c r="D70" s="486"/>
      <c r="E70" s="486"/>
      <c r="F70" s="486"/>
      <c r="G70" s="486"/>
      <c r="H70" s="486"/>
      <c r="I70" s="486"/>
      <c r="J70" s="486"/>
      <c r="K70" s="486"/>
      <c r="L70" s="486"/>
      <c r="M70" s="486"/>
      <c r="N70" s="486"/>
      <c r="O70" s="348"/>
      <c r="P70" s="342"/>
      <c r="Q70" s="173"/>
      <c r="R70"/>
      <c r="U70"/>
      <c r="V70"/>
      <c r="W70"/>
      <c r="X70"/>
      <c r="Y70"/>
      <c r="Z70"/>
      <c r="AA70"/>
      <c r="AB70"/>
    </row>
    <row r="71" spans="1:28" ht="29.25" customHeight="1" x14ac:dyDescent="0.25">
      <c r="A71" s="107" t="s">
        <v>285</v>
      </c>
      <c r="B71" s="93"/>
      <c r="C71" s="581" t="s">
        <v>17</v>
      </c>
      <c r="D71" s="470"/>
      <c r="E71" s="470"/>
      <c r="F71" s="470"/>
      <c r="G71" s="470"/>
      <c r="H71" s="470"/>
      <c r="I71" s="470"/>
      <c r="J71" s="470"/>
      <c r="K71" s="470"/>
      <c r="L71" s="470"/>
      <c r="M71" s="470"/>
      <c r="N71" s="470"/>
      <c r="O71" s="345"/>
      <c r="Q71" s="352"/>
      <c r="R71"/>
      <c r="U71"/>
      <c r="V71"/>
      <c r="W71"/>
      <c r="X71"/>
      <c r="Y71"/>
      <c r="Z71"/>
      <c r="AA71"/>
      <c r="AB71"/>
    </row>
    <row r="72" spans="1:28" ht="21.75" customHeight="1" x14ac:dyDescent="0.25">
      <c r="A72" s="107" t="s">
        <v>76</v>
      </c>
      <c r="B72" s="107" t="s">
        <v>286</v>
      </c>
      <c r="C72" s="100" t="s">
        <v>264</v>
      </c>
      <c r="D72" s="573" t="s">
        <v>77</v>
      </c>
      <c r="E72" s="574"/>
      <c r="F72" s="574"/>
      <c r="G72" s="574"/>
      <c r="H72" s="574"/>
      <c r="I72" s="574"/>
      <c r="J72" s="574"/>
      <c r="K72" s="574"/>
      <c r="L72" s="574"/>
      <c r="M72" s="574"/>
      <c r="N72" s="574"/>
      <c r="O72" s="101" t="s">
        <v>265</v>
      </c>
      <c r="P72" s="101" t="s">
        <v>266</v>
      </c>
      <c r="Q72" s="172"/>
      <c r="R72"/>
      <c r="U72"/>
      <c r="V72"/>
      <c r="W72"/>
      <c r="X72"/>
      <c r="Y72"/>
      <c r="Z72"/>
      <c r="AA72"/>
      <c r="AB72"/>
    </row>
    <row r="73" spans="1:28" ht="36" customHeight="1" x14ac:dyDescent="0.2">
      <c r="A73" s="107" t="s">
        <v>287</v>
      </c>
      <c r="B73" s="107" t="s">
        <v>80</v>
      </c>
      <c r="C73" s="102" t="s">
        <v>245</v>
      </c>
      <c r="D73" s="607" t="s">
        <v>284</v>
      </c>
      <c r="E73" s="470"/>
      <c r="F73" s="470"/>
      <c r="G73" s="470"/>
      <c r="H73" s="470"/>
      <c r="I73" s="470"/>
      <c r="J73" s="470"/>
      <c r="K73" s="470"/>
      <c r="L73" s="470"/>
      <c r="M73" s="470"/>
      <c r="N73" s="470"/>
      <c r="O73" s="71"/>
      <c r="P73" s="95" t="str">
        <f>IF(O73="","",IF(O73="Yes","Fail",IF(O73="No","Pass","N/A")))</f>
        <v/>
      </c>
      <c r="R73"/>
      <c r="U73"/>
      <c r="V73"/>
      <c r="W73"/>
      <c r="X73"/>
      <c r="Y73"/>
      <c r="Z73"/>
      <c r="AA73"/>
      <c r="AB73"/>
    </row>
    <row r="74" spans="1:28" ht="189" customHeight="1" x14ac:dyDescent="0.2">
      <c r="A74" s="107" t="s">
        <v>288</v>
      </c>
      <c r="B74" s="93"/>
      <c r="C74" s="102" t="s">
        <v>246</v>
      </c>
      <c r="D74" s="609" t="s">
        <v>552</v>
      </c>
      <c r="E74" s="470"/>
      <c r="F74" s="470"/>
      <c r="G74" s="470"/>
      <c r="H74" s="470"/>
      <c r="I74" s="470"/>
      <c r="J74" s="470"/>
      <c r="K74" s="470"/>
      <c r="L74" s="470"/>
      <c r="M74" s="470"/>
      <c r="N74" s="470"/>
      <c r="O74" s="71"/>
      <c r="P74" s="95" t="str">
        <f>IF(O74="","",IF(O74="Yes","Fail",IF(O74="No","Pass","N/A")))</f>
        <v/>
      </c>
      <c r="Q74" s="359"/>
      <c r="R74"/>
      <c r="U74"/>
      <c r="V74"/>
      <c r="W74"/>
      <c r="X74"/>
      <c r="Y74"/>
      <c r="Z74"/>
      <c r="AA74"/>
      <c r="AB74"/>
    </row>
    <row r="75" spans="1:28" ht="94.5" customHeight="1" x14ac:dyDescent="0.2">
      <c r="A75" s="107" t="s">
        <v>81</v>
      </c>
      <c r="B75" s="93"/>
      <c r="C75" s="102" t="s">
        <v>247</v>
      </c>
      <c r="D75" s="609" t="s">
        <v>551</v>
      </c>
      <c r="E75" s="470"/>
      <c r="F75" s="470"/>
      <c r="G75" s="470"/>
      <c r="H75" s="470"/>
      <c r="I75" s="470"/>
      <c r="J75" s="470"/>
      <c r="K75" s="470"/>
      <c r="L75" s="470"/>
      <c r="M75" s="470"/>
      <c r="N75" s="470"/>
      <c r="O75" s="71"/>
      <c r="P75" s="95" t="str">
        <f t="shared" ref="P75:P82" si="6">IF(O75="","",IF(O75="Yes","Pass",IF(O75="No","Fail","N/A")))</f>
        <v/>
      </c>
      <c r="Q75" s="173"/>
      <c r="R75"/>
      <c r="U75"/>
      <c r="V75"/>
      <c r="W75"/>
      <c r="X75"/>
      <c r="Y75"/>
      <c r="Z75"/>
      <c r="AA75"/>
      <c r="AB75"/>
    </row>
    <row r="76" spans="1:28" ht="126" customHeight="1" x14ac:dyDescent="0.2">
      <c r="A76" s="107" t="s">
        <v>69</v>
      </c>
      <c r="B76" s="93"/>
      <c r="C76" s="102" t="s">
        <v>248</v>
      </c>
      <c r="D76" s="579" t="s">
        <v>550</v>
      </c>
      <c r="E76" s="572"/>
      <c r="F76" s="572"/>
      <c r="G76" s="572"/>
      <c r="H76" s="572"/>
      <c r="I76" s="572"/>
      <c r="J76" s="572"/>
      <c r="K76" s="572"/>
      <c r="L76" s="572"/>
      <c r="M76" s="572"/>
      <c r="N76" s="572"/>
      <c r="O76" s="71"/>
      <c r="P76" s="95" t="str">
        <f t="shared" si="6"/>
        <v/>
      </c>
      <c r="Q76" s="173"/>
      <c r="R76"/>
      <c r="U76"/>
      <c r="V76"/>
      <c r="W76"/>
      <c r="X76"/>
      <c r="Y76"/>
      <c r="Z76"/>
      <c r="AA76"/>
      <c r="AB76"/>
    </row>
    <row r="77" spans="1:28" ht="78" customHeight="1" x14ac:dyDescent="0.2">
      <c r="A77" s="107" t="s">
        <v>288</v>
      </c>
      <c r="B77" s="93"/>
      <c r="C77" s="102" t="s">
        <v>249</v>
      </c>
      <c r="D77" s="579" t="s">
        <v>289</v>
      </c>
      <c r="E77" s="572"/>
      <c r="F77" s="572"/>
      <c r="G77" s="572"/>
      <c r="H77" s="572"/>
      <c r="I77" s="572"/>
      <c r="J77" s="572"/>
      <c r="K77" s="572"/>
      <c r="L77" s="572"/>
      <c r="M77" s="572"/>
      <c r="N77" s="582"/>
      <c r="O77" s="71"/>
      <c r="P77" s="95" t="str">
        <f t="shared" si="6"/>
        <v/>
      </c>
      <c r="Q77" s="173"/>
      <c r="R77"/>
      <c r="U77"/>
      <c r="V77"/>
      <c r="W77"/>
      <c r="X77"/>
      <c r="Y77"/>
      <c r="Z77"/>
      <c r="AA77"/>
      <c r="AB77"/>
    </row>
    <row r="78" spans="1:28" ht="108.75" customHeight="1" x14ac:dyDescent="0.2">
      <c r="A78" s="107" t="s">
        <v>73</v>
      </c>
      <c r="B78" s="93"/>
      <c r="C78" s="102" t="s">
        <v>250</v>
      </c>
      <c r="D78" s="579" t="s">
        <v>543</v>
      </c>
      <c r="E78" s="572"/>
      <c r="F78" s="572"/>
      <c r="G78" s="572"/>
      <c r="H78" s="572"/>
      <c r="I78" s="572"/>
      <c r="J78" s="572"/>
      <c r="K78" s="572"/>
      <c r="L78" s="572"/>
      <c r="M78" s="572"/>
      <c r="N78" s="582"/>
      <c r="O78" s="71"/>
      <c r="P78" s="95" t="str">
        <f t="shared" si="6"/>
        <v/>
      </c>
      <c r="Q78" s="173"/>
      <c r="R78"/>
      <c r="U78"/>
      <c r="V78"/>
      <c r="W78"/>
      <c r="X78"/>
      <c r="Y78"/>
      <c r="Z78"/>
      <c r="AA78"/>
      <c r="AB78"/>
    </row>
    <row r="79" spans="1:28" ht="36" customHeight="1" x14ac:dyDescent="0.2">
      <c r="A79" s="107" t="s">
        <v>81</v>
      </c>
      <c r="B79" s="93"/>
      <c r="C79" s="102" t="s">
        <v>251</v>
      </c>
      <c r="D79" s="567" t="s">
        <v>290</v>
      </c>
      <c r="E79" s="572"/>
      <c r="F79" s="572"/>
      <c r="G79" s="572"/>
      <c r="H79" s="572"/>
      <c r="I79" s="572"/>
      <c r="J79" s="572"/>
      <c r="K79" s="572"/>
      <c r="L79" s="572"/>
      <c r="M79" s="572"/>
      <c r="N79" s="582"/>
      <c r="O79" s="71"/>
      <c r="P79" s="95" t="str">
        <f t="shared" si="6"/>
        <v/>
      </c>
      <c r="Q79" s="173"/>
      <c r="R79"/>
      <c r="U79"/>
      <c r="V79"/>
      <c r="W79"/>
      <c r="X79"/>
      <c r="Y79"/>
      <c r="Z79"/>
      <c r="AA79"/>
      <c r="AB79"/>
    </row>
    <row r="80" spans="1:28" ht="91.5" customHeight="1" x14ac:dyDescent="0.2">
      <c r="A80" s="107" t="s">
        <v>81</v>
      </c>
      <c r="B80" s="93"/>
      <c r="C80" s="102" t="s">
        <v>252</v>
      </c>
      <c r="D80" s="579" t="s">
        <v>549</v>
      </c>
      <c r="E80" s="572"/>
      <c r="F80" s="572"/>
      <c r="G80" s="572"/>
      <c r="H80" s="572"/>
      <c r="I80" s="572"/>
      <c r="J80" s="572"/>
      <c r="K80" s="572"/>
      <c r="L80" s="572"/>
      <c r="M80" s="572"/>
      <c r="N80" s="582"/>
      <c r="O80" s="71"/>
      <c r="P80" s="95" t="str">
        <f t="shared" si="6"/>
        <v/>
      </c>
      <c r="Q80" s="173"/>
      <c r="R80"/>
      <c r="U80"/>
      <c r="V80"/>
      <c r="W80"/>
      <c r="X80"/>
      <c r="Y80"/>
      <c r="Z80"/>
      <c r="AA80"/>
      <c r="AB80"/>
    </row>
    <row r="81" spans="1:18" ht="61.5" customHeight="1" x14ac:dyDescent="0.2">
      <c r="A81" s="107" t="s">
        <v>288</v>
      </c>
      <c r="B81" s="93"/>
      <c r="C81" s="102" t="s">
        <v>253</v>
      </c>
      <c r="D81" s="579" t="s">
        <v>291</v>
      </c>
      <c r="E81" s="572"/>
      <c r="F81" s="572"/>
      <c r="G81" s="572"/>
      <c r="H81" s="572"/>
      <c r="I81" s="572"/>
      <c r="J81" s="572"/>
      <c r="K81" s="572"/>
      <c r="L81" s="572"/>
      <c r="M81" s="572"/>
      <c r="N81" s="582"/>
      <c r="O81" s="71"/>
      <c r="P81" s="95" t="str">
        <f t="shared" si="6"/>
        <v/>
      </c>
      <c r="Q81"/>
      <c r="R81"/>
    </row>
    <row r="82" spans="1:18" ht="78.75" customHeight="1" x14ac:dyDescent="0.2">
      <c r="A82" s="106">
        <v>1</v>
      </c>
      <c r="B82" s="93"/>
      <c r="C82" s="102" t="s">
        <v>254</v>
      </c>
      <c r="D82" s="609" t="s">
        <v>548</v>
      </c>
      <c r="E82" s="470"/>
      <c r="F82" s="470"/>
      <c r="G82" s="470"/>
      <c r="H82" s="470"/>
      <c r="I82" s="470"/>
      <c r="J82" s="470"/>
      <c r="K82" s="470"/>
      <c r="L82" s="470"/>
      <c r="M82" s="470"/>
      <c r="N82" s="471"/>
      <c r="O82" s="71"/>
      <c r="P82" s="95" t="str">
        <f t="shared" si="6"/>
        <v/>
      </c>
      <c r="Q82"/>
      <c r="R82"/>
    </row>
    <row r="83" spans="1:18" ht="20.25" customHeight="1" x14ac:dyDescent="0.2">
      <c r="A83" s="107" t="s">
        <v>73</v>
      </c>
      <c r="C83" s="469" t="s">
        <v>292</v>
      </c>
      <c r="D83" s="470"/>
      <c r="E83" s="470"/>
      <c r="F83" s="470"/>
      <c r="G83" s="470"/>
      <c r="H83" s="470"/>
      <c r="I83" s="470"/>
      <c r="J83" s="470"/>
      <c r="K83" s="470"/>
      <c r="L83" s="470"/>
      <c r="M83" s="470"/>
      <c r="N83" s="470"/>
      <c r="O83" s="346"/>
      <c r="P83" s="95"/>
      <c r="Q83"/>
      <c r="R83"/>
    </row>
    <row r="84" spans="1:18" ht="21" customHeight="1" x14ac:dyDescent="0.2">
      <c r="B84" s="93"/>
      <c r="C84" s="581" t="s">
        <v>17</v>
      </c>
      <c r="D84" s="470"/>
      <c r="E84" s="470"/>
      <c r="F84" s="470"/>
      <c r="G84" s="470"/>
      <c r="H84" s="470"/>
      <c r="I84" s="470"/>
      <c r="J84" s="470"/>
      <c r="K84" s="470"/>
      <c r="L84" s="470"/>
      <c r="M84" s="470"/>
      <c r="N84" s="470"/>
      <c r="O84" s="345"/>
      <c r="P84" s="346"/>
      <c r="Q84"/>
      <c r="R84"/>
    </row>
    <row r="85" spans="1:18" ht="18" x14ac:dyDescent="0.2">
      <c r="P85" s="345"/>
      <c r="Q85" s="173"/>
      <c r="R85" s="173"/>
    </row>
    <row r="86" spans="1:18" ht="18" x14ac:dyDescent="0.2">
      <c r="P86" s="105"/>
      <c r="Q86" s="173"/>
      <c r="R86" s="173"/>
    </row>
    <row r="87" spans="1:18" x14ac:dyDescent="0.2">
      <c r="P87" s="105"/>
      <c r="Q87" s="105"/>
      <c r="R87" s="105"/>
    </row>
    <row r="88" spans="1:18" x14ac:dyDescent="0.2">
      <c r="Q88" s="105"/>
      <c r="R88" s="105"/>
    </row>
    <row r="89" spans="1:18" x14ac:dyDescent="0.2">
      <c r="Q89" s="105"/>
      <c r="R89" s="105"/>
    </row>
    <row r="90" spans="1:18" x14ac:dyDescent="0.2">
      <c r="Q90" s="105"/>
      <c r="R90" s="105"/>
    </row>
  </sheetData>
  <sheetProtection algorithmName="SHA-512" hashValue="ET4YZU70zRtUkOjiNCUqzON16UbEtKY0dUJClcQi0xCpiSNKmjOutemPp26sOrydETWnpNWQxctPd1Ab68kuNw==" saltValue="3V5MX6EVFZVMXoH/d10hOA==" spinCount="100000" sheet="1" objects="1" scenarios="1"/>
  <mergeCells count="83">
    <mergeCell ref="D82:N82"/>
    <mergeCell ref="C83:N83"/>
    <mergeCell ref="C84:N84"/>
    <mergeCell ref="C34:N34"/>
    <mergeCell ref="C35:N35"/>
    <mergeCell ref="D37:N37"/>
    <mergeCell ref="D49:N49"/>
    <mergeCell ref="C50:N50"/>
    <mergeCell ref="D76:N76"/>
    <mergeCell ref="D77:N77"/>
    <mergeCell ref="D78:N78"/>
    <mergeCell ref="D64:N64"/>
    <mergeCell ref="D54:N54"/>
    <mergeCell ref="D63:N63"/>
    <mergeCell ref="D58:N58"/>
    <mergeCell ref="D60:N60"/>
    <mergeCell ref="C61:N61"/>
    <mergeCell ref="C62:N62"/>
    <mergeCell ref="D69:N69"/>
    <mergeCell ref="C71:N71"/>
    <mergeCell ref="D56:N56"/>
    <mergeCell ref="D57:N57"/>
    <mergeCell ref="D52:N52"/>
    <mergeCell ref="D53:N53"/>
    <mergeCell ref="D59:N59"/>
    <mergeCell ref="D13:N13"/>
    <mergeCell ref="D14:N14"/>
    <mergeCell ref="D29:N29"/>
    <mergeCell ref="C51:N51"/>
    <mergeCell ref="D40:N40"/>
    <mergeCell ref="D47:N47"/>
    <mergeCell ref="D48:N48"/>
    <mergeCell ref="D43:N43"/>
    <mergeCell ref="D44:N44"/>
    <mergeCell ref="D45:N45"/>
    <mergeCell ref="D46:N46"/>
    <mergeCell ref="D42:N42"/>
    <mergeCell ref="D41:N41"/>
    <mergeCell ref="D19:N19"/>
    <mergeCell ref="C20:N20"/>
    <mergeCell ref="C21:N21"/>
    <mergeCell ref="D15:N15"/>
    <mergeCell ref="D16:N16"/>
    <mergeCell ref="D17:N17"/>
    <mergeCell ref="D18:N18"/>
    <mergeCell ref="D22:N22"/>
    <mergeCell ref="D31:N31"/>
    <mergeCell ref="D32:N32"/>
    <mergeCell ref="D23:N23"/>
    <mergeCell ref="D24:N24"/>
    <mergeCell ref="D25:N25"/>
    <mergeCell ref="D26:N26"/>
    <mergeCell ref="C27:N27"/>
    <mergeCell ref="D30:N30"/>
    <mergeCell ref="C28:N28"/>
    <mergeCell ref="S1:U1"/>
    <mergeCell ref="T4:U4"/>
    <mergeCell ref="C1:G1"/>
    <mergeCell ref="C2:G2"/>
    <mergeCell ref="D12:N12"/>
    <mergeCell ref="K1:L1"/>
    <mergeCell ref="K2:L2"/>
    <mergeCell ref="E5:G5"/>
    <mergeCell ref="D8:N8"/>
    <mergeCell ref="D9:N9"/>
    <mergeCell ref="D10:N10"/>
    <mergeCell ref="D11:N11"/>
    <mergeCell ref="D33:N33"/>
    <mergeCell ref="D81:N81"/>
    <mergeCell ref="D65:N65"/>
    <mergeCell ref="D66:N66"/>
    <mergeCell ref="D67:N67"/>
    <mergeCell ref="D80:N80"/>
    <mergeCell ref="D79:N79"/>
    <mergeCell ref="D68:N68"/>
    <mergeCell ref="D72:N72"/>
    <mergeCell ref="D73:N73"/>
    <mergeCell ref="D74:N74"/>
    <mergeCell ref="D75:N75"/>
    <mergeCell ref="D36:N36"/>
    <mergeCell ref="D39:N39"/>
    <mergeCell ref="C70:N70"/>
    <mergeCell ref="D55:N55"/>
  </mergeCells>
  <conditionalFormatting sqref="M5">
    <cfRule type="containsText" dxfId="79" priority="4" operator="containsText" text="Fail">
      <formula>NOT(ISERROR(SEARCH("Fail",M5)))</formula>
    </cfRule>
  </conditionalFormatting>
  <conditionalFormatting sqref="P8:R19 P20 P22:R26 P29:R33 Q34:Q46 P36:P37 P39:P49 Q51:Q59 P52:P60 P63:P69 Q63:Q70 P72:P83 Q74:Q80">
    <cfRule type="containsText" dxfId="78" priority="1" operator="containsText" text="Fail">
      <formula>NOT(ISERROR(SEARCH("Fail",P8)))</formula>
    </cfRule>
  </conditionalFormatting>
  <conditionalFormatting sqref="Q85:R86">
    <cfRule type="containsText" dxfId="77" priority="6" operator="containsText" text="Fail">
      <formula>NOT(ISERROR(SEARCH("Fail",Q85)))</formula>
    </cfRule>
  </conditionalFormatting>
  <conditionalFormatting sqref="U1:U3 T4">
    <cfRule type="containsText" dxfId="76" priority="2" operator="containsText" text="Fail">
      <formula>NOT(ISERROR(SEARCH("Fail",T1)))</formula>
    </cfRule>
  </conditionalFormatting>
  <conditionalFormatting sqref="AE9">
    <cfRule type="containsText" dxfId="75" priority="5" operator="containsText" text="Fail">
      <formula>NOT(ISERROR(SEARCH("Fail",AE9)))</formula>
    </cfRule>
  </conditionalFormatting>
  <dataValidations count="4">
    <dataValidation type="whole" operator="greaterThan" allowBlank="1" showInputMessage="1" showErrorMessage="1" sqref="X9:X34" xr:uid="{42C4BA58-3279-464E-80B1-2D37D2BA28F2}">
      <formula1>0</formula1>
    </dataValidation>
    <dataValidation type="date" operator="greaterThan" allowBlank="1" showInputMessage="1" showErrorMessage="1" sqref="W9:W34" xr:uid="{4C8CB985-6A89-4585-94AC-1ED744956069}">
      <formula1>36526</formula1>
    </dataValidation>
    <dataValidation type="list" showErrorMessage="1" errorTitle="Invalid Selection" error="Select either Yes, No, or N/A from the dropdown list. Click &quot;Cancel&quot; below, then update selection." sqref="O73:O82 O23:O26 O53:O60 O39:O49 O64:O69 O37 O30:O33 O9:O19" xr:uid="{BFF91D57-F1DC-4A18-8521-7A1448DEB2DF}">
      <formula1>"Yes,No,N/A"</formula1>
    </dataValidation>
    <dataValidation type="decimal" operator="greaterThanOrEqual" allowBlank="1" showInputMessage="1" showErrorMessage="1" errorTitle="Input Error" error="Insert the claimed amount with dollars and cents in $0.00 format. Click &quot;Cancel&quot; below and try again." sqref="Y9:Y34" xr:uid="{B06A3533-0324-42A6-83D3-29DF4D2DF479}">
      <formula1>0</formula1>
    </dataValidation>
  </dataValidations>
  <pageMargins left="0.7" right="0.7" top="1" bottom="0.75" header="0.3" footer="0.3"/>
  <pageSetup scale="70" fitToHeight="0" orientation="portrait" r:id="rId1"/>
  <headerFooter>
    <oddHeader>&amp;CConfidential QI Report
San Diego County Mental Health Plan
Behavioral Health Services
Fiscal Year 23-24</oddHeader>
    <oddFooter>&amp;LFY 23-24 Medical Record Review Report - Excel - Rev. 7-1-23</oddFooter>
  </headerFooter>
  <colBreaks count="1" manualBreakCount="1">
    <brk id="16" max="79"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57C7B190-7731-4D86-9DC2-AFD084F4D2FF}">
          <x14:formula1>
            <xm:f>Validations!$E$4:$E$15</xm:f>
          </x14:formula1>
          <xm:sqref>Z9:Z34</xm:sqref>
        </x14:dataValidation>
        <x14:dataValidation type="list" allowBlank="1" showInputMessage="1" showErrorMessage="1" xr:uid="{95D54DE4-3324-49FC-B9C9-9067BC7F0805}">
          <x14:formula1>
            <xm:f>Validations!$D$4:$D$7</xm:f>
          </x14:formula1>
          <xm:sqref>AA9:AA34</xm:sqref>
        </x14:dataValidation>
        <x14:dataValidation type="list" allowBlank="1" showInputMessage="1" showErrorMessage="1" xr:uid="{516BD3CB-D861-450B-95BF-BE8ED816CFA6}">
          <x14:formula1>
            <xm:f>Validations!$C$4:$C$54</xm:f>
          </x14:formula1>
          <xm:sqref>V9:V34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C61E5-4FAF-419D-A5BB-D0DFB3391A83}">
  <sheetPr codeName="Sheet8">
    <tabColor theme="3" tint="0.39997558519241921"/>
  </sheetPr>
  <dimension ref="A1:AE90"/>
  <sheetViews>
    <sheetView showGridLines="0" view="pageBreakPreview" zoomScale="92" zoomScaleNormal="80" zoomScaleSheetLayoutView="92" workbookViewId="0">
      <selection activeCell="D12" sqref="D12:N12"/>
    </sheetView>
  </sheetViews>
  <sheetFormatPr defaultColWidth="9.5703125" defaultRowHeight="15" x14ac:dyDescent="0.2"/>
  <cols>
    <col min="1" max="1" width="7.7109375" style="106" customWidth="1"/>
    <col min="2" max="2" width="8.42578125" style="4" customWidth="1"/>
    <col min="3" max="3" width="8.42578125" style="5" customWidth="1"/>
    <col min="4" max="4" width="2.5703125" style="1" customWidth="1"/>
    <col min="5" max="5" width="7.140625" style="1" customWidth="1"/>
    <col min="6" max="6" width="8.5703125" style="1" customWidth="1"/>
    <col min="7" max="7" width="6.42578125" style="1" customWidth="1"/>
    <col min="8" max="8" width="4.7109375" style="1" customWidth="1"/>
    <col min="9" max="9" width="27.28515625" style="1" customWidth="1"/>
    <col min="10" max="10" width="2.5703125" style="1" customWidth="1"/>
    <col min="11" max="11" width="18.140625" style="1" customWidth="1"/>
    <col min="12" max="12" width="3.42578125" style="1" customWidth="1"/>
    <col min="13" max="13" width="12.140625" style="1" customWidth="1"/>
    <col min="14" max="14" width="9.5703125" style="1" customWidth="1"/>
    <col min="15" max="15" width="13.28515625" style="1" customWidth="1"/>
    <col min="16" max="16" width="8.7109375" style="1" hidden="1" customWidth="1"/>
    <col min="17" max="18" width="1.85546875" style="1" customWidth="1"/>
    <col min="19" max="19" width="11.7109375" customWidth="1"/>
    <col min="20" max="20" width="10.5703125" customWidth="1"/>
    <col min="21" max="21" width="12" style="1" customWidth="1"/>
    <col min="22" max="22" width="22.5703125" style="1" customWidth="1"/>
    <col min="23" max="23" width="12.42578125" style="1" customWidth="1"/>
    <col min="24" max="25" width="9.5703125" style="1"/>
    <col min="26" max="26" width="12.140625" style="1" customWidth="1"/>
    <col min="27" max="27" width="14.7109375" style="1" customWidth="1"/>
    <col min="28" max="28" width="24.42578125" style="1" customWidth="1"/>
    <col min="29" max="16384" width="9.5703125" style="1"/>
  </cols>
  <sheetData>
    <row r="1" spans="1:31" s="5" customFormat="1" ht="15.75" x14ac:dyDescent="0.25">
      <c r="A1" s="106"/>
      <c r="B1" s="4"/>
      <c r="C1" s="560" t="s">
        <v>338</v>
      </c>
      <c r="D1" s="561"/>
      <c r="E1" s="561"/>
      <c r="F1" s="561"/>
      <c r="G1" s="562"/>
      <c r="H1"/>
      <c r="I1" s="86" t="s">
        <v>38</v>
      </c>
      <c r="J1" s="153"/>
      <c r="K1" s="560" t="s">
        <v>12</v>
      </c>
      <c r="L1" s="562"/>
      <c r="N1"/>
      <c r="O1"/>
      <c r="P1"/>
      <c r="Q1"/>
      <c r="R1"/>
      <c r="S1" s="560" t="s">
        <v>260</v>
      </c>
      <c r="T1" s="561"/>
      <c r="U1" s="562"/>
      <c r="V1"/>
      <c r="W1"/>
      <c r="X1"/>
      <c r="Y1"/>
      <c r="Z1"/>
      <c r="AA1"/>
      <c r="AB1"/>
    </row>
    <row r="2" spans="1:31" s="5" customFormat="1" ht="15" customHeight="1" x14ac:dyDescent="0.2">
      <c r="A2" s="106"/>
      <c r="B2" s="4"/>
      <c r="C2" s="583">
        <f>'Chart Review Info'!D3</f>
        <v>0</v>
      </c>
      <c r="D2" s="584"/>
      <c r="E2" s="584"/>
      <c r="F2" s="584"/>
      <c r="G2" s="585"/>
      <c r="H2"/>
      <c r="I2" s="150">
        <f>'Chart Review Info'!D4</f>
        <v>0</v>
      </c>
      <c r="J2" s="153"/>
      <c r="K2" s="592">
        <f>'Chart Review Info'!F19</f>
        <v>0</v>
      </c>
      <c r="L2" s="591"/>
      <c r="N2"/>
      <c r="O2"/>
      <c r="P2"/>
      <c r="Q2"/>
      <c r="R2"/>
      <c r="S2" s="55">
        <f>'Chart Review Info'!G4</f>
        <v>0</v>
      </c>
      <c r="T2" s="82" t="s">
        <v>261</v>
      </c>
      <c r="U2" s="83">
        <f>'Chart Review Info'!G5</f>
        <v>0</v>
      </c>
      <c r="V2"/>
      <c r="W2"/>
      <c r="X2"/>
      <c r="Y2"/>
      <c r="Z2"/>
      <c r="AA2"/>
      <c r="AB2"/>
    </row>
    <row r="3" spans="1:31" s="5" customFormat="1" x14ac:dyDescent="0.2">
      <c r="A3" s="106"/>
      <c r="B3" s="4"/>
      <c r="C3" s="84"/>
      <c r="H3"/>
      <c r="J3" s="98"/>
      <c r="V3"/>
      <c r="W3"/>
      <c r="X3"/>
      <c r="Y3"/>
      <c r="Z3"/>
      <c r="AA3"/>
      <c r="AB3"/>
    </row>
    <row r="4" spans="1:31" s="5" customFormat="1" ht="15.75" x14ac:dyDescent="0.25">
      <c r="A4" s="106"/>
      <c r="B4" s="4"/>
      <c r="C4" s="85" t="s">
        <v>202</v>
      </c>
      <c r="E4" s="85" t="s">
        <v>86</v>
      </c>
      <c r="F4" s="86"/>
      <c r="G4" s="85"/>
      <c r="H4"/>
      <c r="I4" s="151" t="s">
        <v>350</v>
      </c>
      <c r="J4" s="98"/>
      <c r="K4" s="87" t="s">
        <v>260</v>
      </c>
      <c r="L4" s="88"/>
      <c r="O4" s="86" t="s">
        <v>294</v>
      </c>
      <c r="P4"/>
      <c r="Q4"/>
      <c r="R4"/>
      <c r="S4" s="85" t="s">
        <v>12</v>
      </c>
      <c r="T4" s="563">
        <f>Prog_6</f>
        <v>0</v>
      </c>
      <c r="U4" s="564"/>
      <c r="V4"/>
      <c r="W4"/>
      <c r="X4"/>
      <c r="Y4"/>
      <c r="Z4"/>
      <c r="AA4"/>
      <c r="AB4"/>
    </row>
    <row r="5" spans="1:31" s="5" customFormat="1" x14ac:dyDescent="0.2">
      <c r="A5" s="106"/>
      <c r="B5" s="4"/>
      <c r="C5" s="54">
        <v>6</v>
      </c>
      <c r="E5" s="589" t="str">
        <f>'Chart Review Info'!C19</f>
        <v>N/A</v>
      </c>
      <c r="F5" s="590"/>
      <c r="G5" s="591"/>
      <c r="H5"/>
      <c r="I5" s="152">
        <f>Consum_6</f>
        <v>0</v>
      </c>
      <c r="J5" s="98"/>
      <c r="K5" s="293">
        <f>'Chart Review Info'!G4</f>
        <v>0</v>
      </c>
      <c r="L5" s="102" t="s">
        <v>261</v>
      </c>
      <c r="M5" s="293">
        <f>'Chart Review Info'!G5</f>
        <v>0</v>
      </c>
      <c r="O5" s="54">
        <f>'Chart Review Info'!G19</f>
        <v>0</v>
      </c>
      <c r="P5"/>
      <c r="Q5"/>
      <c r="R5"/>
      <c r="S5"/>
      <c r="T5"/>
      <c r="V5"/>
      <c r="W5"/>
      <c r="X5"/>
      <c r="Y5" s="6" t="s">
        <v>514</v>
      </c>
      <c r="Z5"/>
      <c r="AA5"/>
      <c r="AB5"/>
    </row>
    <row r="6" spans="1:31" x14ac:dyDescent="0.2">
      <c r="C6" s="154"/>
      <c r="D6" s="158"/>
      <c r="E6" s="155"/>
      <c r="F6" s="155"/>
      <c r="G6" s="155"/>
      <c r="H6" s="155"/>
      <c r="I6" s="155"/>
      <c r="J6" s="155"/>
      <c r="K6" s="155"/>
      <c r="L6" s="155"/>
      <c r="M6" s="155"/>
      <c r="N6" s="155"/>
      <c r="O6" s="155"/>
      <c r="P6" s="155"/>
      <c r="Q6" s="155"/>
      <c r="R6" s="155"/>
      <c r="T6" s="1"/>
      <c r="W6" s="51"/>
      <c r="Y6" s="329">
        <f>SUM(Y9:Y16)</f>
        <v>0</v>
      </c>
      <c r="AA6" s="13"/>
      <c r="AB6" s="13"/>
    </row>
    <row r="7" spans="1:31" ht="23.25" x14ac:dyDescent="0.25">
      <c r="C7" s="89" t="s">
        <v>262</v>
      </c>
      <c r="D7" s="159"/>
      <c r="E7" s="90"/>
      <c r="F7" s="90"/>
      <c r="G7" s="90"/>
      <c r="H7" s="90"/>
      <c r="I7" s="90"/>
      <c r="J7" s="90"/>
      <c r="K7" s="90"/>
      <c r="L7" s="90"/>
      <c r="M7" s="90"/>
      <c r="N7" s="90"/>
      <c r="O7" s="90"/>
      <c r="P7" s="90"/>
      <c r="S7" s="20"/>
      <c r="T7" s="21"/>
      <c r="U7" s="21"/>
      <c r="V7" s="21"/>
      <c r="W7" s="21"/>
      <c r="X7" s="160" t="s">
        <v>263</v>
      </c>
      <c r="Y7" s="160"/>
      <c r="Z7" s="160"/>
      <c r="AA7" s="22"/>
      <c r="AB7" s="23"/>
    </row>
    <row r="8" spans="1:31" ht="27" customHeight="1" x14ac:dyDescent="0.25">
      <c r="C8" s="91" t="s">
        <v>264</v>
      </c>
      <c r="D8" s="588" t="s">
        <v>68</v>
      </c>
      <c r="E8" s="574"/>
      <c r="F8" s="574"/>
      <c r="G8" s="574"/>
      <c r="H8" s="574"/>
      <c r="I8" s="574"/>
      <c r="J8" s="574"/>
      <c r="K8" s="574"/>
      <c r="L8" s="574"/>
      <c r="M8" s="574"/>
      <c r="N8" s="574"/>
      <c r="O8" s="92" t="s">
        <v>265</v>
      </c>
      <c r="P8" s="92" t="s">
        <v>266</v>
      </c>
      <c r="Q8" s="359"/>
      <c r="R8" s="351"/>
      <c r="S8" s="7" t="s">
        <v>449</v>
      </c>
      <c r="T8" s="9" t="s">
        <v>87</v>
      </c>
      <c r="U8" s="7" t="s">
        <v>88</v>
      </c>
      <c r="V8" s="7" t="s">
        <v>89</v>
      </c>
      <c r="W8" s="7" t="s">
        <v>90</v>
      </c>
      <c r="X8" s="7" t="s">
        <v>644</v>
      </c>
      <c r="Y8" s="8" t="s">
        <v>201</v>
      </c>
      <c r="Z8" s="116" t="s">
        <v>91</v>
      </c>
      <c r="AA8" s="117" t="s">
        <v>95</v>
      </c>
      <c r="AB8" s="117" t="s">
        <v>92</v>
      </c>
    </row>
    <row r="9" spans="1:31" ht="60" customHeight="1" x14ac:dyDescent="0.2">
      <c r="A9" s="212" t="s">
        <v>73</v>
      </c>
      <c r="B9" s="93"/>
      <c r="C9" s="94" t="s">
        <v>204</v>
      </c>
      <c r="D9" s="567" t="s">
        <v>658</v>
      </c>
      <c r="E9" s="470"/>
      <c r="F9" s="470"/>
      <c r="G9" s="470"/>
      <c r="H9" s="470"/>
      <c r="I9" s="470"/>
      <c r="J9" s="470"/>
      <c r="K9" s="470"/>
      <c r="L9" s="470"/>
      <c r="M9" s="470"/>
      <c r="N9" s="471"/>
      <c r="O9" s="71"/>
      <c r="P9" s="95" t="str">
        <f t="shared" ref="P9:P12" si="0">IF(O9="","",IF(O9="Yes","Pass",IF(O9="No","Fail","N/A")))</f>
        <v/>
      </c>
      <c r="Q9" s="173"/>
      <c r="R9" s="173"/>
      <c r="S9" s="124"/>
      <c r="T9" s="125"/>
      <c r="U9" s="125"/>
      <c r="V9" s="125"/>
      <c r="W9" s="126"/>
      <c r="X9" s="125"/>
      <c r="Y9" s="127"/>
      <c r="Z9" s="128"/>
      <c r="AA9" s="129"/>
      <c r="AB9" s="130"/>
      <c r="AC9" s="96"/>
      <c r="AD9" s="96"/>
      <c r="AE9" s="96"/>
    </row>
    <row r="10" spans="1:31" ht="87" customHeight="1" x14ac:dyDescent="0.2">
      <c r="A10" s="107">
        <v>1</v>
      </c>
      <c r="B10" s="93"/>
      <c r="C10" s="94" t="s">
        <v>205</v>
      </c>
      <c r="D10" s="567" t="s">
        <v>528</v>
      </c>
      <c r="E10" s="586"/>
      <c r="F10" s="586"/>
      <c r="G10" s="586"/>
      <c r="H10" s="586"/>
      <c r="I10" s="586"/>
      <c r="J10" s="586"/>
      <c r="K10" s="586"/>
      <c r="L10" s="586"/>
      <c r="M10" s="586"/>
      <c r="N10" s="587"/>
      <c r="O10" s="71"/>
      <c r="P10" s="95" t="str">
        <f t="shared" si="0"/>
        <v/>
      </c>
      <c r="Q10" s="173"/>
      <c r="R10" s="173"/>
      <c r="S10" s="124"/>
      <c r="T10" s="124"/>
      <c r="U10" s="124"/>
      <c r="V10" s="125"/>
      <c r="W10" s="131"/>
      <c r="X10" s="124"/>
      <c r="Y10" s="127"/>
      <c r="Z10" s="128"/>
      <c r="AA10" s="129"/>
      <c r="AB10" s="129"/>
    </row>
    <row r="11" spans="1:31" ht="50.25" customHeight="1" x14ac:dyDescent="0.2">
      <c r="A11" s="107" t="s">
        <v>70</v>
      </c>
      <c r="B11" s="93"/>
      <c r="C11" s="94" t="s">
        <v>206</v>
      </c>
      <c r="D11" s="567" t="s">
        <v>529</v>
      </c>
      <c r="E11" s="586"/>
      <c r="F11" s="586"/>
      <c r="G11" s="586"/>
      <c r="H11" s="586"/>
      <c r="I11" s="586"/>
      <c r="J11" s="586"/>
      <c r="K11" s="586"/>
      <c r="L11" s="586"/>
      <c r="M11" s="586"/>
      <c r="N11" s="587"/>
      <c r="O11" s="71"/>
      <c r="P11" s="95" t="str">
        <f t="shared" si="0"/>
        <v/>
      </c>
      <c r="Q11" s="173"/>
      <c r="R11" s="173"/>
      <c r="S11" s="124"/>
      <c r="T11" s="124"/>
      <c r="U11" s="124"/>
      <c r="V11" s="125"/>
      <c r="W11" s="131"/>
      <c r="X11" s="124"/>
      <c r="Y11" s="127"/>
      <c r="Z11" s="128"/>
      <c r="AA11" s="129"/>
      <c r="AB11" s="129"/>
    </row>
    <row r="12" spans="1:31" ht="33.75" customHeight="1" x14ac:dyDescent="0.2">
      <c r="A12" s="106">
        <v>1</v>
      </c>
      <c r="C12" s="94" t="s">
        <v>207</v>
      </c>
      <c r="D12" s="567" t="s">
        <v>659</v>
      </c>
      <c r="E12" s="586"/>
      <c r="F12" s="586"/>
      <c r="G12" s="586"/>
      <c r="H12" s="586"/>
      <c r="I12" s="586"/>
      <c r="J12" s="586"/>
      <c r="K12" s="586"/>
      <c r="L12" s="586"/>
      <c r="M12" s="586"/>
      <c r="N12" s="587"/>
      <c r="O12" s="71"/>
      <c r="P12" s="95" t="str">
        <f t="shared" si="0"/>
        <v/>
      </c>
      <c r="Q12" s="173"/>
      <c r="R12" s="173"/>
      <c r="S12" s="124"/>
      <c r="T12" s="124"/>
      <c r="U12" s="124"/>
      <c r="V12" s="125"/>
      <c r="W12" s="131"/>
      <c r="X12" s="124"/>
      <c r="Y12" s="127"/>
      <c r="Z12" s="128"/>
      <c r="AA12" s="129"/>
      <c r="AB12" s="129"/>
    </row>
    <row r="13" spans="1:31" ht="36" customHeight="1" x14ac:dyDescent="0.2">
      <c r="A13" s="107">
        <v>1</v>
      </c>
      <c r="B13" s="93"/>
      <c r="C13" s="97" t="s">
        <v>208</v>
      </c>
      <c r="D13" s="567" t="s">
        <v>656</v>
      </c>
      <c r="E13" s="470"/>
      <c r="F13" s="470"/>
      <c r="G13" s="470"/>
      <c r="H13" s="470"/>
      <c r="I13" s="470"/>
      <c r="J13" s="470"/>
      <c r="K13" s="470"/>
      <c r="L13" s="470"/>
      <c r="M13" s="470"/>
      <c r="N13" s="471"/>
      <c r="O13" s="71"/>
      <c r="P13" s="95" t="str">
        <f t="shared" ref="P13:P19" si="1">IF(O13="","",IF(O13="Yes","Pass",IF(O13="No","Fail","N/A")))</f>
        <v/>
      </c>
      <c r="Q13" s="173"/>
      <c r="R13" s="173"/>
      <c r="S13" s="124"/>
      <c r="T13" s="124"/>
      <c r="U13" s="124"/>
      <c r="V13" s="125"/>
      <c r="W13" s="131"/>
      <c r="X13" s="124"/>
      <c r="Y13" s="127"/>
      <c r="Z13" s="128"/>
      <c r="AA13" s="129"/>
      <c r="AB13" s="129"/>
    </row>
    <row r="14" spans="1:31" ht="46.5" customHeight="1" x14ac:dyDescent="0.2">
      <c r="A14" s="107" t="s">
        <v>70</v>
      </c>
      <c r="B14" s="93"/>
      <c r="C14" s="97" t="s">
        <v>209</v>
      </c>
      <c r="D14" s="567" t="s">
        <v>530</v>
      </c>
      <c r="E14" s="586"/>
      <c r="F14" s="586"/>
      <c r="G14" s="586"/>
      <c r="H14" s="586"/>
      <c r="I14" s="586"/>
      <c r="J14" s="586"/>
      <c r="K14" s="586"/>
      <c r="L14" s="586"/>
      <c r="M14" s="586"/>
      <c r="N14" s="587"/>
      <c r="O14" s="71"/>
      <c r="P14" s="95" t="str">
        <f t="shared" si="1"/>
        <v/>
      </c>
      <c r="Q14" s="173"/>
      <c r="R14" s="173"/>
      <c r="S14" s="124"/>
      <c r="T14" s="124"/>
      <c r="U14" s="124"/>
      <c r="V14" s="125"/>
      <c r="W14" s="131"/>
      <c r="X14" s="124"/>
      <c r="Y14" s="127"/>
      <c r="Z14" s="128"/>
      <c r="AA14" s="129"/>
      <c r="AB14" s="129"/>
    </row>
    <row r="15" spans="1:31" ht="49.5" customHeight="1" x14ac:dyDescent="0.2">
      <c r="A15" s="107">
        <v>1</v>
      </c>
      <c r="B15" s="93"/>
      <c r="C15" s="94" t="s">
        <v>210</v>
      </c>
      <c r="D15" s="567" t="s">
        <v>531</v>
      </c>
      <c r="E15" s="586"/>
      <c r="F15" s="586"/>
      <c r="G15" s="586"/>
      <c r="H15" s="586"/>
      <c r="I15" s="586"/>
      <c r="J15" s="586"/>
      <c r="K15" s="586"/>
      <c r="L15" s="586"/>
      <c r="M15" s="586"/>
      <c r="N15" s="587"/>
      <c r="O15" s="71"/>
      <c r="P15" s="95" t="str">
        <f t="shared" si="1"/>
        <v/>
      </c>
      <c r="Q15" s="173"/>
      <c r="R15" s="173"/>
      <c r="S15" s="124"/>
      <c r="T15" s="124"/>
      <c r="U15" s="124"/>
      <c r="V15" s="125"/>
      <c r="W15" s="131"/>
      <c r="X15" s="124"/>
      <c r="Y15" s="127"/>
      <c r="Z15" s="128"/>
      <c r="AA15" s="129"/>
      <c r="AB15" s="129"/>
    </row>
    <row r="16" spans="1:31" ht="66.75" customHeight="1" x14ac:dyDescent="0.2">
      <c r="A16" s="106">
        <v>1</v>
      </c>
      <c r="C16" s="97" t="s">
        <v>211</v>
      </c>
      <c r="D16" s="567" t="s">
        <v>532</v>
      </c>
      <c r="E16" s="586"/>
      <c r="F16" s="586"/>
      <c r="G16" s="586"/>
      <c r="H16" s="586"/>
      <c r="I16" s="586"/>
      <c r="J16" s="586"/>
      <c r="K16" s="586"/>
      <c r="L16" s="586"/>
      <c r="M16" s="586"/>
      <c r="N16" s="587"/>
      <c r="O16" s="71"/>
      <c r="P16" s="95" t="str">
        <f t="shared" si="1"/>
        <v/>
      </c>
      <c r="Q16" s="173"/>
      <c r="R16" s="173"/>
      <c r="S16" s="124"/>
      <c r="T16" s="124"/>
      <c r="U16" s="124"/>
      <c r="V16" s="125"/>
      <c r="W16" s="131"/>
      <c r="X16" s="124"/>
      <c r="Y16" s="127"/>
      <c r="Z16" s="128"/>
      <c r="AA16" s="129"/>
      <c r="AB16" s="129"/>
    </row>
    <row r="17" spans="1:28" ht="39" customHeight="1" x14ac:dyDescent="0.2">
      <c r="A17" s="107" t="s">
        <v>70</v>
      </c>
      <c r="B17" s="93"/>
      <c r="C17" s="97" t="s">
        <v>212</v>
      </c>
      <c r="D17" s="567" t="s">
        <v>533</v>
      </c>
      <c r="E17" s="586"/>
      <c r="F17" s="586"/>
      <c r="G17" s="586"/>
      <c r="H17" s="586"/>
      <c r="I17" s="586"/>
      <c r="J17" s="586"/>
      <c r="K17" s="586"/>
      <c r="L17" s="586"/>
      <c r="M17" s="586"/>
      <c r="N17" s="587"/>
      <c r="O17" s="71"/>
      <c r="P17" s="95" t="str">
        <f t="shared" si="1"/>
        <v/>
      </c>
      <c r="Q17" s="173"/>
      <c r="R17" s="173"/>
      <c r="S17" s="124"/>
      <c r="T17" s="124"/>
      <c r="U17" s="124"/>
      <c r="V17" s="125"/>
      <c r="W17" s="131"/>
      <c r="X17" s="124"/>
      <c r="Y17" s="127"/>
      <c r="Z17" s="128"/>
      <c r="AA17" s="129"/>
      <c r="AB17" s="129"/>
    </row>
    <row r="18" spans="1:28" ht="83.25" customHeight="1" x14ac:dyDescent="0.2">
      <c r="A18" s="107" t="s">
        <v>70</v>
      </c>
      <c r="B18" s="93"/>
      <c r="C18" s="94" t="s">
        <v>657</v>
      </c>
      <c r="D18" s="567" t="s">
        <v>534</v>
      </c>
      <c r="E18" s="586"/>
      <c r="F18" s="586"/>
      <c r="G18" s="586"/>
      <c r="H18" s="586"/>
      <c r="I18" s="586"/>
      <c r="J18" s="586"/>
      <c r="K18" s="586"/>
      <c r="L18" s="586"/>
      <c r="M18" s="586"/>
      <c r="N18" s="587"/>
      <c r="O18" s="71"/>
      <c r="P18" s="95" t="str">
        <f t="shared" si="1"/>
        <v/>
      </c>
      <c r="Q18" s="173"/>
      <c r="R18" s="173"/>
      <c r="S18" s="124"/>
      <c r="T18" s="124"/>
      <c r="U18" s="124"/>
      <c r="V18" s="125"/>
      <c r="W18" s="131"/>
      <c r="X18" s="124"/>
      <c r="Y18" s="127"/>
      <c r="Z18" s="128"/>
      <c r="AA18" s="129"/>
      <c r="AB18" s="129"/>
    </row>
    <row r="19" spans="1:28" ht="47.25" customHeight="1" x14ac:dyDescent="0.2">
      <c r="A19" s="107" t="s">
        <v>81</v>
      </c>
      <c r="B19" s="93"/>
      <c r="C19" s="391" t="s">
        <v>213</v>
      </c>
      <c r="D19" s="571" t="s">
        <v>535</v>
      </c>
      <c r="E19" s="572"/>
      <c r="F19" s="572"/>
      <c r="G19" s="572"/>
      <c r="H19" s="572"/>
      <c r="I19" s="572"/>
      <c r="J19" s="572"/>
      <c r="K19" s="572"/>
      <c r="L19" s="572"/>
      <c r="M19" s="572"/>
      <c r="N19" s="572"/>
      <c r="O19" s="71"/>
      <c r="P19" s="95" t="str">
        <f t="shared" si="1"/>
        <v/>
      </c>
      <c r="Q19" s="173"/>
      <c r="R19" s="173"/>
      <c r="S19" s="124"/>
      <c r="T19" s="124"/>
      <c r="U19" s="124"/>
      <c r="V19" s="125"/>
      <c r="W19" s="131"/>
      <c r="X19" s="124"/>
      <c r="Y19" s="127"/>
      <c r="Z19" s="128"/>
      <c r="AA19" s="129"/>
      <c r="AB19" s="129"/>
    </row>
    <row r="20" spans="1:28" ht="22.5" customHeight="1" x14ac:dyDescent="0.2">
      <c r="A20" s="106">
        <v>1</v>
      </c>
      <c r="B20" s="93"/>
      <c r="C20" s="575" t="s">
        <v>267</v>
      </c>
      <c r="D20" s="470"/>
      <c r="E20" s="470"/>
      <c r="F20" s="470"/>
      <c r="G20" s="470"/>
      <c r="H20" s="470"/>
      <c r="I20" s="470"/>
      <c r="J20" s="470"/>
      <c r="K20" s="470"/>
      <c r="L20" s="470"/>
      <c r="M20" s="470"/>
      <c r="N20" s="470"/>
      <c r="O20"/>
      <c r="P20" s="392"/>
      <c r="Q20" s="174"/>
      <c r="R20" s="174"/>
      <c r="S20" s="124"/>
      <c r="T20" s="124"/>
      <c r="U20" s="124"/>
      <c r="V20" s="125"/>
      <c r="W20" s="131"/>
      <c r="X20" s="124"/>
      <c r="Y20" s="127"/>
      <c r="Z20" s="128"/>
      <c r="AA20" s="129"/>
      <c r="AB20" s="129"/>
    </row>
    <row r="21" spans="1:28" ht="30.75" customHeight="1" x14ac:dyDescent="0.2">
      <c r="A21" s="107" t="s">
        <v>73</v>
      </c>
      <c r="C21" s="581" t="s">
        <v>17</v>
      </c>
      <c r="D21" s="470"/>
      <c r="E21" s="470"/>
      <c r="F21" s="470"/>
      <c r="G21" s="470"/>
      <c r="H21" s="470"/>
      <c r="I21" s="470"/>
      <c r="J21" s="470"/>
      <c r="K21" s="470"/>
      <c r="L21" s="470"/>
      <c r="M21" s="470"/>
      <c r="N21" s="471"/>
      <c r="O21" s="345"/>
      <c r="P21" s="343"/>
      <c r="Q21" s="172"/>
      <c r="R21" s="172"/>
      <c r="S21" s="124"/>
      <c r="T21" s="124"/>
      <c r="U21" s="124"/>
      <c r="V21" s="125"/>
      <c r="W21" s="131"/>
      <c r="X21" s="124"/>
      <c r="Y21" s="132"/>
      <c r="Z21" s="128"/>
      <c r="AA21" s="129"/>
      <c r="AB21" s="129"/>
    </row>
    <row r="22" spans="1:28" ht="18" customHeight="1" x14ac:dyDescent="0.25">
      <c r="C22" s="100" t="s">
        <v>264</v>
      </c>
      <c r="D22" s="573" t="s">
        <v>71</v>
      </c>
      <c r="E22" s="574"/>
      <c r="F22" s="574"/>
      <c r="G22" s="574"/>
      <c r="H22" s="574"/>
      <c r="I22" s="574"/>
      <c r="J22" s="574"/>
      <c r="K22" s="574"/>
      <c r="L22" s="574"/>
      <c r="M22" s="574"/>
      <c r="N22" s="440"/>
      <c r="O22" s="101" t="s">
        <v>265</v>
      </c>
      <c r="P22" s="101" t="s">
        <v>266</v>
      </c>
      <c r="Q22" s="359"/>
      <c r="R22" s="175"/>
      <c r="S22" s="124"/>
      <c r="T22" s="124"/>
      <c r="U22" s="124"/>
      <c r="V22" s="125"/>
      <c r="W22" s="131"/>
      <c r="X22" s="124"/>
      <c r="Y22" s="127"/>
      <c r="Z22" s="128"/>
      <c r="AA22" s="129"/>
      <c r="AB22" s="129"/>
    </row>
    <row r="23" spans="1:28" ht="18" customHeight="1" x14ac:dyDescent="0.2">
      <c r="A23" s="106">
        <v>1</v>
      </c>
      <c r="C23" s="102" t="s">
        <v>215</v>
      </c>
      <c r="D23" s="567" t="s">
        <v>268</v>
      </c>
      <c r="E23" s="470"/>
      <c r="F23" s="470"/>
      <c r="G23" s="470"/>
      <c r="H23" s="470"/>
      <c r="I23" s="470"/>
      <c r="J23" s="470"/>
      <c r="K23" s="470"/>
      <c r="L23" s="470"/>
      <c r="M23" s="470"/>
      <c r="N23" s="471"/>
      <c r="O23" s="71"/>
      <c r="P23" s="95" t="str">
        <f>IF(O23="","",IF(O23="Yes","Pass",IF(O23="No","Fail","N/A")))</f>
        <v/>
      </c>
      <c r="Q23" s="173"/>
      <c r="R23" s="173"/>
      <c r="S23" s="124"/>
      <c r="T23" s="124"/>
      <c r="U23" s="124"/>
      <c r="V23" s="125"/>
      <c r="W23" s="131"/>
      <c r="X23" s="124"/>
      <c r="Y23" s="127"/>
      <c r="Z23" s="128"/>
      <c r="AA23" s="129"/>
      <c r="AB23" s="129"/>
    </row>
    <row r="24" spans="1:28" ht="45" customHeight="1" x14ac:dyDescent="0.2">
      <c r="A24" s="107" t="s">
        <v>69</v>
      </c>
      <c r="C24" s="97" t="s">
        <v>216</v>
      </c>
      <c r="D24" s="567" t="s">
        <v>269</v>
      </c>
      <c r="E24" s="470"/>
      <c r="F24" s="470"/>
      <c r="G24" s="470"/>
      <c r="H24" s="470"/>
      <c r="I24" s="470"/>
      <c r="J24" s="470"/>
      <c r="K24" s="470"/>
      <c r="L24" s="470"/>
      <c r="M24" s="470"/>
      <c r="N24" s="471"/>
      <c r="O24" s="71"/>
      <c r="P24" s="95" t="str">
        <f>IF(O24="","",IF(O24="Yes","Pass",IF(O24="No","Fail","N/A")))</f>
        <v/>
      </c>
      <c r="Q24" s="173"/>
      <c r="R24" s="173"/>
      <c r="S24" s="124"/>
      <c r="T24" s="124"/>
      <c r="U24" s="124"/>
      <c r="V24" s="125"/>
      <c r="W24" s="131"/>
      <c r="X24" s="124"/>
      <c r="Y24" s="127"/>
      <c r="Z24" s="128"/>
      <c r="AA24" s="129"/>
      <c r="AB24" s="129"/>
    </row>
    <row r="25" spans="1:28" ht="45" customHeight="1" x14ac:dyDescent="0.2">
      <c r="A25" s="107" t="s">
        <v>69</v>
      </c>
      <c r="B25" s="93"/>
      <c r="C25" s="97" t="s">
        <v>217</v>
      </c>
      <c r="D25" s="567" t="s">
        <v>270</v>
      </c>
      <c r="E25" s="470"/>
      <c r="F25" s="470"/>
      <c r="G25" s="470"/>
      <c r="H25" s="470"/>
      <c r="I25" s="470"/>
      <c r="J25" s="470"/>
      <c r="K25" s="470"/>
      <c r="L25" s="470"/>
      <c r="M25" s="470"/>
      <c r="N25" s="471"/>
      <c r="O25" s="71"/>
      <c r="P25" s="95" t="str">
        <f>IF(O25="","",IF(O25="Yes","Pass",IF(O25="No","Fail","N/A")))</f>
        <v/>
      </c>
      <c r="Q25" s="173"/>
      <c r="R25" s="173"/>
      <c r="S25" s="124"/>
      <c r="T25" s="124"/>
      <c r="U25" s="124"/>
      <c r="V25" s="125"/>
      <c r="W25" s="131"/>
      <c r="X25" s="124"/>
      <c r="Y25" s="127"/>
      <c r="Z25" s="128"/>
      <c r="AA25" s="129"/>
      <c r="AB25" s="129"/>
    </row>
    <row r="26" spans="1:28" ht="51.75" customHeight="1" x14ac:dyDescent="0.2">
      <c r="A26" s="107" t="s">
        <v>69</v>
      </c>
      <c r="B26" s="93"/>
      <c r="C26" s="97" t="s">
        <v>218</v>
      </c>
      <c r="D26" s="567" t="s">
        <v>271</v>
      </c>
      <c r="E26" s="470"/>
      <c r="F26" s="470"/>
      <c r="G26" s="470"/>
      <c r="H26" s="470"/>
      <c r="I26" s="470"/>
      <c r="J26" s="470"/>
      <c r="K26" s="470"/>
      <c r="L26" s="470"/>
      <c r="M26" s="470"/>
      <c r="N26" s="470"/>
      <c r="O26" s="71"/>
      <c r="P26" s="95" t="str">
        <f>IF(O26="","",IF(O26="Yes","Pass",IF(O26="No","Fail","N/A")))</f>
        <v/>
      </c>
      <c r="Q26" s="173"/>
      <c r="R26" s="173"/>
      <c r="S26" s="124"/>
      <c r="T26" s="124"/>
      <c r="U26" s="124"/>
      <c r="V26" s="125"/>
      <c r="W26" s="131"/>
      <c r="X26" s="124"/>
      <c r="Y26" s="127"/>
      <c r="Z26" s="128"/>
      <c r="AA26" s="129"/>
      <c r="AB26" s="129"/>
    </row>
    <row r="27" spans="1:28" ht="22.5" customHeight="1" x14ac:dyDescent="0.2">
      <c r="A27" s="106">
        <v>1</v>
      </c>
      <c r="B27" s="93"/>
      <c r="C27" s="580" t="s">
        <v>272</v>
      </c>
      <c r="D27" s="470"/>
      <c r="E27" s="470"/>
      <c r="F27" s="470"/>
      <c r="G27" s="470"/>
      <c r="H27" s="470"/>
      <c r="I27" s="470"/>
      <c r="J27" s="470"/>
      <c r="K27" s="470"/>
      <c r="L27" s="470"/>
      <c r="M27" s="470"/>
      <c r="N27" s="470"/>
      <c r="O27" s="341"/>
      <c r="Q27" s="123"/>
      <c r="R27" s="123"/>
      <c r="S27" s="124"/>
      <c r="T27" s="124"/>
      <c r="U27" s="124"/>
      <c r="V27" s="125"/>
      <c r="W27" s="131"/>
      <c r="X27" s="124"/>
      <c r="Y27" s="127"/>
      <c r="Z27" s="128"/>
      <c r="AA27" s="129"/>
      <c r="AB27" s="129"/>
    </row>
    <row r="28" spans="1:28" ht="29.25" customHeight="1" x14ac:dyDescent="0.2">
      <c r="A28" s="107" t="s">
        <v>73</v>
      </c>
      <c r="C28" s="581" t="s">
        <v>17</v>
      </c>
      <c r="D28" s="470"/>
      <c r="E28" s="470"/>
      <c r="F28" s="470"/>
      <c r="G28" s="470"/>
      <c r="H28" s="470"/>
      <c r="I28" s="470"/>
      <c r="J28" s="470"/>
      <c r="K28" s="470"/>
      <c r="L28" s="470"/>
      <c r="M28" s="470"/>
      <c r="N28" s="470"/>
      <c r="O28" s="345"/>
      <c r="P28" s="340"/>
      <c r="Q28" s="123"/>
      <c r="R28" s="123"/>
      <c r="S28" s="124"/>
      <c r="T28" s="124"/>
      <c r="U28" s="124"/>
      <c r="V28" s="125"/>
      <c r="W28" s="131"/>
      <c r="X28" s="133"/>
      <c r="Y28" s="132"/>
      <c r="Z28" s="128"/>
      <c r="AA28" s="129"/>
      <c r="AB28" s="129"/>
    </row>
    <row r="29" spans="1:28" ht="24" customHeight="1" x14ac:dyDescent="0.25">
      <c r="C29" s="100" t="s">
        <v>264</v>
      </c>
      <c r="D29" s="573" t="s">
        <v>465</v>
      </c>
      <c r="E29" s="574"/>
      <c r="F29" s="574"/>
      <c r="G29" s="574"/>
      <c r="H29" s="574"/>
      <c r="I29" s="574"/>
      <c r="J29" s="574"/>
      <c r="K29" s="574"/>
      <c r="L29" s="574"/>
      <c r="M29" s="574"/>
      <c r="N29" s="574"/>
      <c r="O29" s="101" t="s">
        <v>265</v>
      </c>
      <c r="P29" s="101" t="s">
        <v>266</v>
      </c>
      <c r="Q29" s="359"/>
      <c r="R29" s="175"/>
      <c r="S29" s="124"/>
      <c r="T29" s="124"/>
      <c r="U29" s="124"/>
      <c r="V29" s="125"/>
      <c r="W29" s="131"/>
      <c r="X29" s="133"/>
      <c r="Y29" s="132"/>
      <c r="Z29" s="128"/>
      <c r="AA29" s="129"/>
      <c r="AB29" s="129"/>
    </row>
    <row r="30" spans="1:28" ht="66" customHeight="1" x14ac:dyDescent="0.2">
      <c r="A30" s="107" t="s">
        <v>69</v>
      </c>
      <c r="C30" s="102" t="s">
        <v>466</v>
      </c>
      <c r="D30" s="567" t="s">
        <v>467</v>
      </c>
      <c r="E30" s="572"/>
      <c r="F30" s="572"/>
      <c r="G30" s="572"/>
      <c r="H30" s="572"/>
      <c r="I30" s="572"/>
      <c r="J30" s="572"/>
      <c r="K30" s="572"/>
      <c r="L30" s="572"/>
      <c r="M30" s="572"/>
      <c r="N30" s="572"/>
      <c r="O30" s="71"/>
      <c r="P30" s="95" t="str">
        <f t="shared" ref="P30:P31" si="2">IF(O30="","",IF(O30="Yes","Pass",IF(O30="No","Fail","N/A")))</f>
        <v/>
      </c>
      <c r="Q30" s="173"/>
      <c r="R30" s="173"/>
      <c r="S30" s="124"/>
      <c r="T30" s="124"/>
      <c r="U30" s="124"/>
      <c r="V30" s="125"/>
      <c r="W30" s="131"/>
      <c r="X30" s="133"/>
      <c r="Y30" s="132"/>
      <c r="Z30" s="128"/>
      <c r="AA30" s="129"/>
      <c r="AB30" s="129"/>
    </row>
    <row r="31" spans="1:28" ht="33.75" customHeight="1" x14ac:dyDescent="0.2">
      <c r="A31" s="107" t="s">
        <v>73</v>
      </c>
      <c r="B31" s="93"/>
      <c r="C31" s="102" t="s">
        <v>471</v>
      </c>
      <c r="D31" s="579" t="s">
        <v>468</v>
      </c>
      <c r="E31" s="572"/>
      <c r="F31" s="572"/>
      <c r="G31" s="572"/>
      <c r="H31" s="572"/>
      <c r="I31" s="572"/>
      <c r="J31" s="572"/>
      <c r="K31" s="572"/>
      <c r="L31" s="572"/>
      <c r="M31" s="572"/>
      <c r="N31" s="572"/>
      <c r="O31" s="71"/>
      <c r="P31" s="95" t="str">
        <f t="shared" si="2"/>
        <v/>
      </c>
      <c r="Q31" s="173"/>
      <c r="R31" s="173"/>
      <c r="S31" s="124"/>
      <c r="T31" s="124"/>
      <c r="U31" s="124"/>
      <c r="V31" s="125"/>
      <c r="W31" s="131"/>
      <c r="X31" s="133"/>
      <c r="Y31" s="132"/>
      <c r="Z31" s="128"/>
      <c r="AA31" s="129"/>
      <c r="AB31" s="129"/>
    </row>
    <row r="32" spans="1:28" ht="45" customHeight="1" x14ac:dyDescent="0.2">
      <c r="A32" s="107" t="s">
        <v>69</v>
      </c>
      <c r="B32" s="93"/>
      <c r="C32" s="102" t="s">
        <v>472</v>
      </c>
      <c r="D32" s="579" t="s">
        <v>469</v>
      </c>
      <c r="E32" s="572"/>
      <c r="F32" s="572"/>
      <c r="G32" s="572"/>
      <c r="H32" s="572"/>
      <c r="I32" s="572"/>
      <c r="J32" s="572"/>
      <c r="K32" s="572"/>
      <c r="L32" s="572"/>
      <c r="M32" s="572"/>
      <c r="N32" s="572"/>
      <c r="O32" s="71"/>
      <c r="P32" s="95" t="str">
        <f>IF(O32="","",IF(O32="Yes","Pass",IF(O32="No","Fail","N/A")))</f>
        <v/>
      </c>
      <c r="Q32" s="173"/>
      <c r="R32" s="173"/>
      <c r="S32" s="124"/>
      <c r="T32" s="124"/>
      <c r="U32" s="124"/>
      <c r="V32" s="125"/>
      <c r="W32" s="131"/>
      <c r="X32" s="133"/>
      <c r="Y32" s="132"/>
      <c r="Z32" s="128"/>
      <c r="AA32" s="129"/>
      <c r="AB32" s="129"/>
    </row>
    <row r="33" spans="1:28" ht="30" customHeight="1" x14ac:dyDescent="0.2">
      <c r="A33" s="107" t="s">
        <v>70</v>
      </c>
      <c r="B33" s="93"/>
      <c r="C33" s="102" t="s">
        <v>473</v>
      </c>
      <c r="D33" s="579" t="s">
        <v>470</v>
      </c>
      <c r="E33" s="572"/>
      <c r="F33" s="572"/>
      <c r="G33" s="572"/>
      <c r="H33" s="572"/>
      <c r="I33" s="572"/>
      <c r="J33" s="572"/>
      <c r="K33" s="572"/>
      <c r="L33" s="572"/>
      <c r="M33" s="572"/>
      <c r="N33" s="572"/>
      <c r="O33" s="71"/>
      <c r="P33" s="95" t="str">
        <f>IF(O33="","",IF(O33="Yes","Pass",IF(O33="No","Fail","N/A")))</f>
        <v/>
      </c>
      <c r="Q33" s="173"/>
      <c r="R33" s="173"/>
      <c r="S33" s="124"/>
      <c r="T33" s="124"/>
      <c r="U33" s="124"/>
      <c r="V33" s="125"/>
      <c r="W33" s="131"/>
      <c r="X33" s="133"/>
      <c r="Y33" s="132"/>
      <c r="Z33" s="128"/>
      <c r="AA33" s="129"/>
      <c r="AB33" s="129"/>
    </row>
    <row r="34" spans="1:28" ht="24" customHeight="1" x14ac:dyDescent="0.2">
      <c r="A34" s="107" t="s">
        <v>69</v>
      </c>
      <c r="B34" s="93"/>
      <c r="C34" s="580" t="s">
        <v>545</v>
      </c>
      <c r="D34" s="470"/>
      <c r="E34" s="470"/>
      <c r="F34" s="470"/>
      <c r="G34" s="470"/>
      <c r="H34" s="470"/>
      <c r="I34" s="470"/>
      <c r="J34" s="470"/>
      <c r="K34" s="470"/>
      <c r="L34" s="470"/>
      <c r="M34" s="470"/>
      <c r="N34" s="470"/>
      <c r="O34" s="341"/>
      <c r="Q34" s="359"/>
      <c r="S34" s="124"/>
      <c r="T34" s="124"/>
      <c r="U34" s="124"/>
      <c r="V34" s="125"/>
      <c r="W34" s="131"/>
      <c r="X34" s="133"/>
      <c r="Y34" s="132"/>
      <c r="Z34" s="128"/>
      <c r="AA34" s="129"/>
      <c r="AB34" s="129"/>
    </row>
    <row r="35" spans="1:28" ht="27.75" customHeight="1" x14ac:dyDescent="0.2">
      <c r="A35" s="107" t="s">
        <v>69</v>
      </c>
      <c r="B35" s="93"/>
      <c r="C35" s="581" t="s">
        <v>17</v>
      </c>
      <c r="D35" s="470"/>
      <c r="E35" s="470"/>
      <c r="F35" s="470"/>
      <c r="G35" s="470"/>
      <c r="H35" s="470"/>
      <c r="I35" s="470"/>
      <c r="J35" s="470"/>
      <c r="K35" s="470"/>
      <c r="L35" s="470"/>
      <c r="M35" s="470"/>
      <c r="N35" s="470"/>
      <c r="O35" s="345"/>
      <c r="Q35" s="173"/>
      <c r="R35"/>
      <c r="U35"/>
      <c r="V35"/>
      <c r="W35"/>
      <c r="X35"/>
      <c r="Y35"/>
      <c r="Z35"/>
      <c r="AA35"/>
      <c r="AB35"/>
    </row>
    <row r="36" spans="1:28" ht="24.75" customHeight="1" x14ac:dyDescent="0.25">
      <c r="A36" s="107" t="s">
        <v>70</v>
      </c>
      <c r="B36" s="93"/>
      <c r="C36" s="100" t="s">
        <v>264</v>
      </c>
      <c r="D36" s="573" t="s">
        <v>72</v>
      </c>
      <c r="E36" s="574"/>
      <c r="F36" s="574"/>
      <c r="G36" s="574"/>
      <c r="H36" s="574"/>
      <c r="I36" s="574"/>
      <c r="J36" s="574"/>
      <c r="K36" s="574"/>
      <c r="L36" s="574"/>
      <c r="M36" s="574"/>
      <c r="N36" s="440"/>
      <c r="O36" s="101" t="s">
        <v>265</v>
      </c>
      <c r="P36" s="101" t="s">
        <v>266</v>
      </c>
      <c r="Q36" s="173"/>
      <c r="R36"/>
      <c r="U36"/>
      <c r="V36"/>
      <c r="W36"/>
      <c r="X36"/>
      <c r="Y36"/>
      <c r="Z36"/>
      <c r="AA36"/>
      <c r="AB36"/>
    </row>
    <row r="37" spans="1:28" ht="31.5" customHeight="1" x14ac:dyDescent="0.2">
      <c r="A37" s="107" t="s">
        <v>73</v>
      </c>
      <c r="B37" s="93"/>
      <c r="C37" s="103" t="s">
        <v>220</v>
      </c>
      <c r="D37" s="445" t="s">
        <v>544</v>
      </c>
      <c r="E37" s="568"/>
      <c r="F37" s="568"/>
      <c r="G37" s="568"/>
      <c r="H37" s="568"/>
      <c r="I37" s="568"/>
      <c r="J37" s="568"/>
      <c r="K37" s="568"/>
      <c r="L37" s="568"/>
      <c r="M37" s="568"/>
      <c r="N37" s="569"/>
      <c r="O37" s="71"/>
      <c r="P37" s="95" t="str">
        <f>IF(O37="","",IF(O37="Yes","Pass",IF(O37="No","Fail","N/A")))</f>
        <v/>
      </c>
      <c r="Q37" s="173"/>
      <c r="R37"/>
      <c r="U37"/>
      <c r="V37"/>
      <c r="W37"/>
      <c r="X37"/>
      <c r="Y37"/>
      <c r="Z37"/>
      <c r="AA37"/>
      <c r="AB37"/>
    </row>
    <row r="38" spans="1:28" ht="30" customHeight="1" x14ac:dyDescent="0.2">
      <c r="A38" s="107" t="s">
        <v>70</v>
      </c>
      <c r="B38" s="93"/>
      <c r="C38" s="185"/>
      <c r="D38" s="296" t="s">
        <v>351</v>
      </c>
      <c r="E38" s="297"/>
      <c r="F38" s="298"/>
      <c r="G38" s="299"/>
      <c r="I38" s="300" t="s">
        <v>352</v>
      </c>
      <c r="J38" s="299"/>
      <c r="K38" s="301" t="s">
        <v>353</v>
      </c>
      <c r="L38" s="191"/>
      <c r="M38" s="302"/>
      <c r="N38" s="303" t="e">
        <f>J38/G38</f>
        <v>#DIV/0!</v>
      </c>
      <c r="Q38" s="173"/>
      <c r="R38"/>
      <c r="U38"/>
      <c r="V38"/>
      <c r="W38"/>
      <c r="X38"/>
      <c r="Y38"/>
      <c r="Z38"/>
      <c r="AA38"/>
      <c r="AB38"/>
    </row>
    <row r="39" spans="1:28" ht="38.25" customHeight="1" x14ac:dyDescent="0.2">
      <c r="A39" s="107" t="s">
        <v>73</v>
      </c>
      <c r="B39" s="93"/>
      <c r="C39" s="97" t="s">
        <v>133</v>
      </c>
      <c r="D39" s="579" t="s">
        <v>645</v>
      </c>
      <c r="E39" s="572"/>
      <c r="F39" s="572"/>
      <c r="G39" s="572"/>
      <c r="H39" s="572"/>
      <c r="I39" s="572"/>
      <c r="J39" s="572"/>
      <c r="K39" s="572"/>
      <c r="L39" s="572"/>
      <c r="M39" s="572"/>
      <c r="N39" s="572"/>
      <c r="O39" s="71"/>
      <c r="P39" s="95" t="str">
        <f t="shared" ref="P39:P49" si="3">IF(O39="","",IF(O39="Yes","Pass",IF(O39="No","Fail","N/A")))</f>
        <v/>
      </c>
      <c r="Q39" s="173"/>
      <c r="R39"/>
      <c r="U39"/>
      <c r="V39"/>
      <c r="W39"/>
      <c r="X39"/>
      <c r="Y39"/>
      <c r="Z39"/>
      <c r="AA39"/>
      <c r="AB39"/>
    </row>
    <row r="40" spans="1:28" ht="30" customHeight="1" x14ac:dyDescent="0.2">
      <c r="A40" s="107" t="s">
        <v>70</v>
      </c>
      <c r="B40" s="93"/>
      <c r="C40" s="97" t="s">
        <v>221</v>
      </c>
      <c r="D40" s="579" t="s">
        <v>536</v>
      </c>
      <c r="E40" s="470"/>
      <c r="F40" s="470"/>
      <c r="G40" s="470"/>
      <c r="H40" s="470"/>
      <c r="I40" s="470"/>
      <c r="J40" s="470"/>
      <c r="K40" s="470"/>
      <c r="L40" s="470"/>
      <c r="M40" s="470"/>
      <c r="N40" s="470"/>
      <c r="O40" s="71"/>
      <c r="P40" s="95" t="str">
        <f t="shared" si="3"/>
        <v/>
      </c>
      <c r="Q40" s="173"/>
      <c r="R40"/>
      <c r="U40"/>
      <c r="V40"/>
      <c r="W40"/>
      <c r="X40"/>
      <c r="Y40"/>
      <c r="Z40"/>
      <c r="AA40"/>
      <c r="AB40"/>
    </row>
    <row r="41" spans="1:28" ht="41.25" customHeight="1" x14ac:dyDescent="0.2">
      <c r="A41" s="107">
        <v>1</v>
      </c>
      <c r="B41" s="93"/>
      <c r="C41" s="103" t="s">
        <v>222</v>
      </c>
      <c r="D41" s="445" t="s">
        <v>537</v>
      </c>
      <c r="E41" s="568"/>
      <c r="F41" s="568"/>
      <c r="G41" s="568"/>
      <c r="H41" s="568"/>
      <c r="I41" s="568"/>
      <c r="J41" s="568"/>
      <c r="K41" s="568"/>
      <c r="L41" s="568"/>
      <c r="M41" s="568"/>
      <c r="N41" s="569"/>
      <c r="O41" s="71"/>
      <c r="P41" s="95" t="str">
        <f t="shared" si="3"/>
        <v/>
      </c>
      <c r="Q41" s="173"/>
      <c r="R41"/>
      <c r="U41"/>
      <c r="V41"/>
      <c r="W41"/>
      <c r="X41"/>
      <c r="Y41"/>
      <c r="Z41"/>
      <c r="AA41"/>
      <c r="AB41"/>
    </row>
    <row r="42" spans="1:28" ht="34.5" customHeight="1" x14ac:dyDescent="0.2">
      <c r="A42" s="107"/>
      <c r="B42" s="93"/>
      <c r="C42" s="97" t="s">
        <v>223</v>
      </c>
      <c r="D42" s="445" t="s">
        <v>538</v>
      </c>
      <c r="E42" s="568"/>
      <c r="F42" s="568"/>
      <c r="G42" s="568"/>
      <c r="H42" s="568"/>
      <c r="I42" s="568"/>
      <c r="J42" s="568"/>
      <c r="K42" s="568"/>
      <c r="L42" s="568"/>
      <c r="M42" s="568"/>
      <c r="N42" s="569"/>
      <c r="O42" s="71"/>
      <c r="P42" s="95" t="str">
        <f t="shared" si="3"/>
        <v/>
      </c>
      <c r="Q42" s="173"/>
      <c r="R42"/>
      <c r="U42"/>
      <c r="V42"/>
      <c r="W42"/>
      <c r="X42"/>
      <c r="Y42"/>
      <c r="Z42"/>
      <c r="AA42"/>
      <c r="AB42"/>
    </row>
    <row r="43" spans="1:28" ht="33" customHeight="1" x14ac:dyDescent="0.2">
      <c r="A43" s="106">
        <v>1</v>
      </c>
      <c r="B43" s="93"/>
      <c r="C43" s="97" t="s">
        <v>224</v>
      </c>
      <c r="D43" s="445" t="s">
        <v>273</v>
      </c>
      <c r="E43" s="568"/>
      <c r="F43" s="568"/>
      <c r="G43" s="568"/>
      <c r="H43" s="568"/>
      <c r="I43" s="568"/>
      <c r="J43" s="568"/>
      <c r="K43" s="568"/>
      <c r="L43" s="568"/>
      <c r="M43" s="568"/>
      <c r="N43" s="569"/>
      <c r="O43" s="71"/>
      <c r="P43" s="95" t="str">
        <f t="shared" si="3"/>
        <v/>
      </c>
      <c r="Q43" s="173"/>
      <c r="R43"/>
      <c r="U43"/>
      <c r="V43"/>
      <c r="W43"/>
      <c r="X43"/>
      <c r="Y43"/>
      <c r="Z43"/>
      <c r="AA43"/>
      <c r="AB43"/>
    </row>
    <row r="44" spans="1:28" ht="35.25" customHeight="1" x14ac:dyDescent="0.2">
      <c r="A44" s="107" t="s">
        <v>73</v>
      </c>
      <c r="C44" s="103" t="s">
        <v>225</v>
      </c>
      <c r="D44" s="567" t="s">
        <v>274</v>
      </c>
      <c r="E44" s="470"/>
      <c r="F44" s="470"/>
      <c r="G44" s="470"/>
      <c r="H44" s="470"/>
      <c r="I44" s="470"/>
      <c r="J44" s="470"/>
      <c r="K44" s="470"/>
      <c r="L44" s="470"/>
      <c r="M44" s="470"/>
      <c r="N44" s="470"/>
      <c r="O44" s="71"/>
      <c r="P44" s="95" t="str">
        <f t="shared" si="3"/>
        <v/>
      </c>
      <c r="Q44" s="173"/>
      <c r="R44"/>
      <c r="U44"/>
      <c r="V44"/>
      <c r="W44"/>
      <c r="X44"/>
      <c r="Y44"/>
      <c r="Z44"/>
      <c r="AA44"/>
      <c r="AB44"/>
    </row>
    <row r="45" spans="1:28" ht="35.25" customHeight="1" x14ac:dyDescent="0.2">
      <c r="B45" s="93"/>
      <c r="C45" s="97" t="s">
        <v>226</v>
      </c>
      <c r="D45" s="445" t="s">
        <v>275</v>
      </c>
      <c r="E45" s="568"/>
      <c r="F45" s="568"/>
      <c r="G45" s="568"/>
      <c r="H45" s="568"/>
      <c r="I45" s="568"/>
      <c r="J45" s="568"/>
      <c r="K45" s="568"/>
      <c r="L45" s="568"/>
      <c r="M45" s="568"/>
      <c r="N45" s="569"/>
      <c r="O45" s="71"/>
      <c r="P45" s="95" t="str">
        <f t="shared" si="3"/>
        <v/>
      </c>
      <c r="Q45" s="173"/>
      <c r="R45"/>
      <c r="U45"/>
      <c r="V45"/>
      <c r="W45"/>
      <c r="X45"/>
      <c r="Y45"/>
      <c r="Z45"/>
      <c r="AA45"/>
      <c r="AB45"/>
    </row>
    <row r="46" spans="1:28" ht="18" customHeight="1" x14ac:dyDescent="0.2">
      <c r="C46" s="97" t="s">
        <v>227</v>
      </c>
      <c r="D46" s="445" t="s">
        <v>276</v>
      </c>
      <c r="E46" s="570"/>
      <c r="F46" s="570"/>
      <c r="G46" s="570"/>
      <c r="H46" s="570"/>
      <c r="I46" s="570"/>
      <c r="J46" s="570"/>
      <c r="K46" s="570"/>
      <c r="L46" s="570"/>
      <c r="M46" s="570"/>
      <c r="N46" s="570"/>
      <c r="O46" s="71"/>
      <c r="P46" s="95" t="str">
        <f t="shared" si="3"/>
        <v/>
      </c>
      <c r="Q46" s="173"/>
      <c r="R46"/>
      <c r="U46"/>
      <c r="V46"/>
      <c r="W46"/>
      <c r="X46"/>
      <c r="Y46"/>
      <c r="Z46"/>
      <c r="AA46"/>
      <c r="AB46"/>
    </row>
    <row r="47" spans="1:28" ht="35.25" customHeight="1" x14ac:dyDescent="0.2">
      <c r="A47" s="106">
        <v>1</v>
      </c>
      <c r="C47" s="103" t="s">
        <v>228</v>
      </c>
      <c r="D47" s="445" t="s">
        <v>277</v>
      </c>
      <c r="E47" s="568"/>
      <c r="F47" s="568"/>
      <c r="G47" s="568"/>
      <c r="H47" s="568"/>
      <c r="I47" s="568"/>
      <c r="J47" s="568"/>
      <c r="K47" s="568"/>
      <c r="L47" s="568"/>
      <c r="M47" s="568"/>
      <c r="N47" s="569"/>
      <c r="O47" s="71"/>
      <c r="P47" s="95" t="str">
        <f t="shared" si="3"/>
        <v/>
      </c>
      <c r="R47"/>
      <c r="U47"/>
      <c r="V47"/>
      <c r="W47"/>
      <c r="X47"/>
      <c r="Y47"/>
      <c r="Z47"/>
      <c r="AA47"/>
      <c r="AB47"/>
    </row>
    <row r="48" spans="1:28" ht="57.75" customHeight="1" x14ac:dyDescent="0.2">
      <c r="A48" s="107" t="s">
        <v>69</v>
      </c>
      <c r="C48" s="97" t="s">
        <v>229</v>
      </c>
      <c r="D48" s="565" t="s">
        <v>539</v>
      </c>
      <c r="E48" s="566"/>
      <c r="F48" s="566"/>
      <c r="G48" s="566"/>
      <c r="H48" s="566"/>
      <c r="I48" s="566"/>
      <c r="J48" s="566"/>
      <c r="K48" s="566"/>
      <c r="L48" s="566"/>
      <c r="M48" s="566"/>
      <c r="N48" s="566"/>
      <c r="O48" s="71"/>
      <c r="P48" s="95" t="str">
        <f t="shared" si="3"/>
        <v/>
      </c>
      <c r="Q48" s="171"/>
      <c r="R48"/>
      <c r="U48"/>
      <c r="V48"/>
      <c r="W48"/>
      <c r="X48"/>
      <c r="Y48"/>
      <c r="Z48"/>
      <c r="AA48"/>
      <c r="AB48"/>
    </row>
    <row r="49" spans="1:28" ht="39" customHeight="1" x14ac:dyDescent="0.2">
      <c r="A49" s="106">
        <v>1</v>
      </c>
      <c r="B49" s="93"/>
      <c r="C49" s="97" t="s">
        <v>230</v>
      </c>
      <c r="D49" s="567" t="s">
        <v>540</v>
      </c>
      <c r="E49" s="470"/>
      <c r="F49" s="470"/>
      <c r="G49" s="470"/>
      <c r="H49" s="470"/>
      <c r="I49" s="470"/>
      <c r="J49" s="470"/>
      <c r="K49" s="470"/>
      <c r="L49" s="470"/>
      <c r="M49" s="470"/>
      <c r="N49" s="471"/>
      <c r="O49" s="71"/>
      <c r="P49" s="95" t="str">
        <f t="shared" si="3"/>
        <v/>
      </c>
      <c r="Q49" s="123"/>
      <c r="R49"/>
      <c r="U49"/>
      <c r="V49"/>
      <c r="W49"/>
      <c r="X49"/>
      <c r="Y49"/>
      <c r="Z49"/>
      <c r="AA49"/>
      <c r="AB49"/>
    </row>
    <row r="50" spans="1:28" ht="19.5" customHeight="1" x14ac:dyDescent="0.2">
      <c r="A50" s="107" t="s">
        <v>73</v>
      </c>
      <c r="C50" s="580" t="s">
        <v>278</v>
      </c>
      <c r="D50" s="470"/>
      <c r="E50" s="470"/>
      <c r="F50" s="470"/>
      <c r="G50" s="470"/>
      <c r="H50" s="470"/>
      <c r="I50" s="470"/>
      <c r="J50" s="470"/>
      <c r="K50" s="470"/>
      <c r="L50" s="470"/>
      <c r="M50" s="470"/>
      <c r="N50" s="470"/>
      <c r="O50" s="347"/>
      <c r="P50" s="344"/>
      <c r="Q50" s="99"/>
      <c r="R50"/>
      <c r="U50"/>
      <c r="V50"/>
      <c r="W50"/>
      <c r="X50"/>
      <c r="Y50"/>
      <c r="Z50"/>
      <c r="AA50"/>
      <c r="AB50"/>
    </row>
    <row r="51" spans="1:28" ht="25.5" customHeight="1" x14ac:dyDescent="0.2">
      <c r="A51" s="107" t="s">
        <v>69</v>
      </c>
      <c r="B51" s="93"/>
      <c r="C51" s="581" t="s">
        <v>17</v>
      </c>
      <c r="D51" s="470"/>
      <c r="E51" s="470"/>
      <c r="F51" s="470"/>
      <c r="G51" s="470"/>
      <c r="H51" s="470"/>
      <c r="I51" s="470"/>
      <c r="J51" s="470"/>
      <c r="K51" s="470"/>
      <c r="L51" s="470"/>
      <c r="M51" s="470"/>
      <c r="N51" s="470"/>
      <c r="O51" s="345"/>
      <c r="Q51" s="359"/>
      <c r="R51"/>
      <c r="U51"/>
      <c r="V51"/>
      <c r="W51"/>
      <c r="X51"/>
      <c r="Y51"/>
      <c r="Z51"/>
      <c r="AA51"/>
      <c r="AB51"/>
    </row>
    <row r="52" spans="1:28" ht="21.75" customHeight="1" x14ac:dyDescent="0.25">
      <c r="A52" s="106">
        <v>1</v>
      </c>
      <c r="B52" s="93"/>
      <c r="C52" s="100" t="s">
        <v>264</v>
      </c>
      <c r="D52" s="576" t="s">
        <v>74</v>
      </c>
      <c r="E52" s="577"/>
      <c r="F52" s="577"/>
      <c r="G52" s="577"/>
      <c r="H52" s="577"/>
      <c r="I52" s="577"/>
      <c r="J52" s="577"/>
      <c r="K52" s="577"/>
      <c r="L52" s="577"/>
      <c r="M52" s="577"/>
      <c r="N52" s="578"/>
      <c r="O52" s="101" t="s">
        <v>265</v>
      </c>
      <c r="P52" s="101" t="s">
        <v>266</v>
      </c>
      <c r="Q52" s="173"/>
      <c r="R52"/>
      <c r="U52"/>
      <c r="V52"/>
      <c r="W52"/>
      <c r="X52"/>
      <c r="Y52"/>
      <c r="Z52"/>
      <c r="AA52"/>
      <c r="AB52"/>
    </row>
    <row r="53" spans="1:28" ht="34.5" customHeight="1" x14ac:dyDescent="0.2">
      <c r="A53" s="106">
        <v>1</v>
      </c>
      <c r="C53" s="94" t="s">
        <v>232</v>
      </c>
      <c r="D53" s="601" t="s">
        <v>279</v>
      </c>
      <c r="E53" s="595"/>
      <c r="F53" s="595"/>
      <c r="G53" s="595"/>
      <c r="H53" s="595"/>
      <c r="I53" s="595"/>
      <c r="J53" s="595"/>
      <c r="K53" s="595"/>
      <c r="L53" s="595"/>
      <c r="M53" s="595"/>
      <c r="N53" s="595"/>
      <c r="O53" s="71"/>
      <c r="P53" s="95" t="str">
        <f t="shared" ref="P53:P60" si="4">IF(O53="","",IF(O53="Yes","Pass",IF(O53="No","Fail","N/A")))</f>
        <v/>
      </c>
      <c r="Q53" s="173"/>
      <c r="R53"/>
      <c r="U53"/>
      <c r="V53"/>
      <c r="W53"/>
      <c r="X53"/>
      <c r="Y53"/>
      <c r="Z53"/>
      <c r="AA53"/>
      <c r="AB53"/>
    </row>
    <row r="54" spans="1:28" ht="60.75" customHeight="1" x14ac:dyDescent="0.2">
      <c r="A54" s="106">
        <v>1</v>
      </c>
      <c r="C54" s="94" t="s">
        <v>233</v>
      </c>
      <c r="D54" s="601" t="s">
        <v>457</v>
      </c>
      <c r="E54" s="605"/>
      <c r="F54" s="605"/>
      <c r="G54" s="605"/>
      <c r="H54" s="605"/>
      <c r="I54" s="605"/>
      <c r="J54" s="605"/>
      <c r="K54" s="605"/>
      <c r="L54" s="605"/>
      <c r="M54" s="605"/>
      <c r="N54" s="606"/>
      <c r="O54" s="71"/>
      <c r="P54" s="95" t="str">
        <f t="shared" si="4"/>
        <v/>
      </c>
      <c r="Q54" s="173"/>
      <c r="R54"/>
      <c r="U54"/>
      <c r="V54"/>
      <c r="W54"/>
      <c r="X54"/>
      <c r="Y54"/>
      <c r="Z54"/>
      <c r="AA54"/>
      <c r="AB54"/>
    </row>
    <row r="55" spans="1:28" ht="38.25" customHeight="1" x14ac:dyDescent="0.2">
      <c r="A55" s="106">
        <v>1</v>
      </c>
      <c r="B55" s="107" t="s">
        <v>70</v>
      </c>
      <c r="C55" s="94" t="s">
        <v>458</v>
      </c>
      <c r="D55" s="602" t="s">
        <v>454</v>
      </c>
      <c r="E55" s="603"/>
      <c r="F55" s="603"/>
      <c r="G55" s="603"/>
      <c r="H55" s="603"/>
      <c r="I55" s="603"/>
      <c r="J55" s="603"/>
      <c r="K55" s="603"/>
      <c r="L55" s="603"/>
      <c r="M55" s="603"/>
      <c r="N55" s="604"/>
      <c r="O55" s="71"/>
      <c r="P55" s="95" t="str">
        <f t="shared" si="4"/>
        <v/>
      </c>
      <c r="Q55" s="173"/>
      <c r="R55"/>
      <c r="U55"/>
      <c r="V55"/>
      <c r="W55"/>
      <c r="X55"/>
      <c r="Y55"/>
      <c r="Z55"/>
      <c r="AA55"/>
      <c r="AB55"/>
    </row>
    <row r="56" spans="1:28" ht="68.25" customHeight="1" x14ac:dyDescent="0.2">
      <c r="A56" s="107" t="s">
        <v>73</v>
      </c>
      <c r="C56" s="94" t="s">
        <v>234</v>
      </c>
      <c r="D56" s="594" t="s">
        <v>541</v>
      </c>
      <c r="E56" s="595"/>
      <c r="F56" s="595"/>
      <c r="G56" s="595"/>
      <c r="H56" s="595"/>
      <c r="I56" s="595"/>
      <c r="J56" s="595"/>
      <c r="K56" s="595"/>
      <c r="L56" s="595"/>
      <c r="M56" s="595"/>
      <c r="N56" s="596"/>
      <c r="O56" s="71"/>
      <c r="P56" s="95" t="str">
        <f t="shared" si="4"/>
        <v/>
      </c>
      <c r="Q56" s="173"/>
      <c r="R56"/>
      <c r="U56"/>
      <c r="V56"/>
      <c r="W56"/>
      <c r="X56"/>
      <c r="Y56"/>
      <c r="Z56"/>
      <c r="AA56"/>
      <c r="AB56"/>
    </row>
    <row r="57" spans="1:28" ht="31.5" customHeight="1" x14ac:dyDescent="0.2">
      <c r="B57" s="93"/>
      <c r="C57" s="94" t="s">
        <v>235</v>
      </c>
      <c r="D57" s="602" t="s">
        <v>459</v>
      </c>
      <c r="E57" s="603"/>
      <c r="F57" s="603"/>
      <c r="G57" s="603"/>
      <c r="H57" s="603"/>
      <c r="I57" s="603"/>
      <c r="J57" s="603"/>
      <c r="K57" s="603"/>
      <c r="L57" s="603"/>
      <c r="M57" s="603"/>
      <c r="N57" s="604"/>
      <c r="O57" s="71"/>
      <c r="P57" s="95" t="str">
        <f t="shared" si="4"/>
        <v/>
      </c>
      <c r="Q57" s="173"/>
      <c r="R57"/>
      <c r="U57"/>
      <c r="V57"/>
      <c r="W57"/>
      <c r="X57"/>
      <c r="Y57"/>
      <c r="Z57"/>
      <c r="AA57"/>
      <c r="AB57"/>
    </row>
    <row r="58" spans="1:28" ht="40.5" customHeight="1" x14ac:dyDescent="0.2">
      <c r="C58" s="104" t="s">
        <v>460</v>
      </c>
      <c r="D58" s="597" t="s">
        <v>455</v>
      </c>
      <c r="E58" s="595"/>
      <c r="F58" s="595"/>
      <c r="G58" s="595"/>
      <c r="H58" s="595"/>
      <c r="I58" s="595"/>
      <c r="J58" s="595"/>
      <c r="K58" s="595"/>
      <c r="L58" s="595"/>
      <c r="M58" s="595"/>
      <c r="N58" s="596"/>
      <c r="O58" s="71"/>
      <c r="P58" s="95" t="str">
        <f t="shared" si="4"/>
        <v/>
      </c>
      <c r="Q58" s="173"/>
      <c r="R58"/>
      <c r="U58"/>
      <c r="V58"/>
      <c r="W58"/>
      <c r="X58"/>
      <c r="Y58"/>
      <c r="Z58"/>
      <c r="AA58"/>
      <c r="AB58"/>
    </row>
    <row r="59" spans="1:28" ht="30" customHeight="1" x14ac:dyDescent="0.2">
      <c r="A59" s="107" t="s">
        <v>70</v>
      </c>
      <c r="C59" s="104" t="s">
        <v>236</v>
      </c>
      <c r="D59" s="598" t="s">
        <v>456</v>
      </c>
      <c r="E59" s="599"/>
      <c r="F59" s="599"/>
      <c r="G59" s="599"/>
      <c r="H59" s="599"/>
      <c r="I59" s="599"/>
      <c r="J59" s="599"/>
      <c r="K59" s="599"/>
      <c r="L59" s="599"/>
      <c r="M59" s="599"/>
      <c r="N59" s="600"/>
      <c r="O59" s="71"/>
      <c r="P59" s="95" t="str">
        <f t="shared" si="4"/>
        <v/>
      </c>
      <c r="Q59" s="173"/>
      <c r="R59"/>
      <c r="U59"/>
      <c r="V59"/>
      <c r="W59"/>
      <c r="X59"/>
      <c r="Y59"/>
      <c r="Z59"/>
      <c r="AA59"/>
      <c r="AB59"/>
    </row>
    <row r="60" spans="1:28" ht="30" customHeight="1" x14ac:dyDescent="0.2">
      <c r="A60" s="107" t="s">
        <v>70</v>
      </c>
      <c r="B60" s="93"/>
      <c r="C60" s="104" t="s">
        <v>237</v>
      </c>
      <c r="D60" s="598" t="s">
        <v>280</v>
      </c>
      <c r="E60" s="599"/>
      <c r="F60" s="599"/>
      <c r="G60" s="599"/>
      <c r="H60" s="599"/>
      <c r="I60" s="599"/>
      <c r="J60" s="599"/>
      <c r="K60" s="599"/>
      <c r="L60" s="599"/>
      <c r="M60" s="599"/>
      <c r="N60" s="600"/>
      <c r="O60" s="71"/>
      <c r="P60" s="95" t="str">
        <f t="shared" si="4"/>
        <v/>
      </c>
      <c r="Q60" s="171"/>
      <c r="R60"/>
      <c r="U60"/>
      <c r="V60"/>
      <c r="W60"/>
      <c r="X60"/>
      <c r="Y60"/>
      <c r="Z60"/>
      <c r="AA60"/>
      <c r="AB60"/>
    </row>
    <row r="61" spans="1:28" ht="22.5" customHeight="1" x14ac:dyDescent="0.2">
      <c r="A61" s="107" t="s">
        <v>69</v>
      </c>
      <c r="B61" s="107" t="s">
        <v>69</v>
      </c>
      <c r="C61" s="580" t="s">
        <v>281</v>
      </c>
      <c r="D61" s="470"/>
      <c r="E61" s="470"/>
      <c r="F61" s="470"/>
      <c r="G61" s="470"/>
      <c r="H61" s="470"/>
      <c r="I61" s="470"/>
      <c r="J61" s="470"/>
      <c r="K61" s="470"/>
      <c r="L61" s="470"/>
      <c r="M61" s="470"/>
      <c r="N61" s="470"/>
      <c r="O61" s="347"/>
      <c r="P61" s="345"/>
      <c r="Q61" s="172"/>
      <c r="R61"/>
      <c r="U61"/>
      <c r="V61"/>
      <c r="W61"/>
      <c r="X61"/>
      <c r="Y61"/>
      <c r="Z61"/>
      <c r="AA61"/>
      <c r="AB61"/>
    </row>
    <row r="62" spans="1:28" ht="28.5" customHeight="1" x14ac:dyDescent="0.2">
      <c r="A62" s="107"/>
      <c r="B62" s="147"/>
      <c r="C62" s="581" t="s">
        <v>17</v>
      </c>
      <c r="D62" s="470"/>
      <c r="E62" s="470"/>
      <c r="F62" s="470"/>
      <c r="G62" s="470"/>
      <c r="H62" s="470"/>
      <c r="I62" s="470"/>
      <c r="J62" s="470"/>
      <c r="K62" s="470"/>
      <c r="L62" s="470"/>
      <c r="M62" s="470"/>
      <c r="N62" s="470"/>
      <c r="O62" s="345"/>
      <c r="Q62" s="171"/>
      <c r="R62"/>
      <c r="U62"/>
      <c r="V62"/>
      <c r="W62"/>
      <c r="X62"/>
      <c r="Y62"/>
      <c r="Z62"/>
      <c r="AA62"/>
      <c r="AB62"/>
    </row>
    <row r="63" spans="1:28" ht="30" customHeight="1" x14ac:dyDescent="0.25">
      <c r="A63" s="107" t="s">
        <v>70</v>
      </c>
      <c r="B63" s="93"/>
      <c r="C63" s="100" t="s">
        <v>264</v>
      </c>
      <c r="D63" s="573" t="s">
        <v>75</v>
      </c>
      <c r="E63" s="574"/>
      <c r="F63" s="574"/>
      <c r="G63" s="574"/>
      <c r="H63" s="574"/>
      <c r="I63" s="574"/>
      <c r="J63" s="574"/>
      <c r="K63" s="574"/>
      <c r="L63" s="574"/>
      <c r="M63" s="574"/>
      <c r="N63" s="440"/>
      <c r="O63" s="101" t="s">
        <v>265</v>
      </c>
      <c r="P63" s="101" t="s">
        <v>266</v>
      </c>
      <c r="Q63" s="359"/>
      <c r="R63"/>
      <c r="U63"/>
      <c r="V63"/>
      <c r="W63"/>
      <c r="X63"/>
      <c r="Y63"/>
      <c r="Z63"/>
      <c r="AA63"/>
      <c r="AB63"/>
    </row>
    <row r="64" spans="1:28" ht="30" customHeight="1" x14ac:dyDescent="0.2">
      <c r="A64" s="107" t="s">
        <v>70</v>
      </c>
      <c r="B64" s="93"/>
      <c r="C64" s="94" t="s">
        <v>239</v>
      </c>
      <c r="D64" s="567" t="s">
        <v>461</v>
      </c>
      <c r="E64" s="470"/>
      <c r="F64" s="470"/>
      <c r="G64" s="470"/>
      <c r="H64" s="470"/>
      <c r="I64" s="470"/>
      <c r="J64" s="470"/>
      <c r="K64" s="470"/>
      <c r="L64" s="470"/>
      <c r="M64" s="470"/>
      <c r="N64" s="471"/>
      <c r="O64" s="71"/>
      <c r="P64" s="95" t="str">
        <f t="shared" ref="P64:P69" si="5">IF(O64="","",IF(O64="Yes","Pass",IF(O64="No","Fail","N/A")))</f>
        <v/>
      </c>
      <c r="Q64" s="173"/>
      <c r="R64"/>
      <c r="U64"/>
      <c r="V64"/>
      <c r="W64"/>
      <c r="X64"/>
      <c r="Y64"/>
      <c r="Z64"/>
      <c r="AA64"/>
      <c r="AB64"/>
    </row>
    <row r="65" spans="1:28" ht="33.75" customHeight="1" x14ac:dyDescent="0.2">
      <c r="A65" s="107" t="s">
        <v>76</v>
      </c>
      <c r="B65" s="93"/>
      <c r="C65" s="94" t="s">
        <v>240</v>
      </c>
      <c r="D65" s="567" t="s">
        <v>282</v>
      </c>
      <c r="E65" s="470"/>
      <c r="F65" s="470"/>
      <c r="G65" s="470"/>
      <c r="H65" s="470"/>
      <c r="I65" s="470"/>
      <c r="J65" s="470"/>
      <c r="K65" s="470"/>
      <c r="L65" s="470"/>
      <c r="M65" s="470"/>
      <c r="N65" s="471"/>
      <c r="O65" s="71"/>
      <c r="P65" s="95" t="str">
        <f t="shared" si="5"/>
        <v/>
      </c>
      <c r="Q65" s="173"/>
      <c r="R65"/>
      <c r="U65"/>
      <c r="V65"/>
      <c r="W65"/>
      <c r="X65"/>
      <c r="Y65"/>
      <c r="Z65"/>
      <c r="AA65"/>
      <c r="AB65"/>
    </row>
    <row r="66" spans="1:28" ht="49.5" customHeight="1" x14ac:dyDescent="0.2">
      <c r="A66" s="106">
        <v>1</v>
      </c>
      <c r="B66" s="93"/>
      <c r="C66" s="94" t="s">
        <v>241</v>
      </c>
      <c r="D66" s="567" t="s">
        <v>462</v>
      </c>
      <c r="E66" s="470"/>
      <c r="F66" s="470"/>
      <c r="G66" s="470"/>
      <c r="H66" s="470"/>
      <c r="I66" s="470"/>
      <c r="J66" s="470"/>
      <c r="K66" s="470"/>
      <c r="L66" s="470"/>
      <c r="M66" s="470"/>
      <c r="N66" s="471"/>
      <c r="O66" s="71"/>
      <c r="P66" s="95" t="str">
        <f t="shared" si="5"/>
        <v/>
      </c>
      <c r="Q66" s="173"/>
      <c r="R66"/>
      <c r="U66"/>
      <c r="V66"/>
      <c r="W66"/>
      <c r="X66"/>
      <c r="Y66"/>
      <c r="Z66"/>
      <c r="AA66"/>
      <c r="AB66"/>
    </row>
    <row r="67" spans="1:28" ht="35.25" customHeight="1" x14ac:dyDescent="0.2">
      <c r="A67" s="107" t="s">
        <v>73</v>
      </c>
      <c r="C67" s="148" t="s">
        <v>542</v>
      </c>
      <c r="D67" s="593" t="s">
        <v>464</v>
      </c>
      <c r="E67" s="470"/>
      <c r="F67" s="470"/>
      <c r="G67" s="470"/>
      <c r="H67" s="470"/>
      <c r="I67" s="470"/>
      <c r="J67" s="470"/>
      <c r="K67" s="470"/>
      <c r="L67" s="470"/>
      <c r="M67" s="470"/>
      <c r="N67" s="470"/>
      <c r="O67" s="71"/>
      <c r="P67" s="95" t="str">
        <f t="shared" si="5"/>
        <v/>
      </c>
      <c r="Q67" s="173"/>
      <c r="R67"/>
      <c r="U67"/>
      <c r="V67"/>
      <c r="W67"/>
      <c r="X67"/>
      <c r="Y67"/>
      <c r="Z67"/>
      <c r="AA67"/>
      <c r="AB67"/>
    </row>
    <row r="68" spans="1:28" ht="36" customHeight="1" x14ac:dyDescent="0.2">
      <c r="B68" s="93"/>
      <c r="C68" s="94" t="s">
        <v>242</v>
      </c>
      <c r="D68" s="469" t="s">
        <v>546</v>
      </c>
      <c r="E68" s="470"/>
      <c r="F68" s="470"/>
      <c r="G68" s="470"/>
      <c r="H68" s="470"/>
      <c r="I68" s="470"/>
      <c r="J68" s="470"/>
      <c r="K68" s="470"/>
      <c r="L68" s="470"/>
      <c r="M68" s="470"/>
      <c r="N68" s="471"/>
      <c r="O68" s="71"/>
      <c r="P68" s="95" t="str">
        <f t="shared" si="5"/>
        <v/>
      </c>
      <c r="Q68" s="173"/>
      <c r="R68"/>
      <c r="U68"/>
      <c r="V68"/>
      <c r="W68"/>
      <c r="X68"/>
      <c r="Y68"/>
      <c r="Z68"/>
      <c r="AA68"/>
      <c r="AB68"/>
    </row>
    <row r="69" spans="1:28" ht="52.5" customHeight="1" x14ac:dyDescent="0.2">
      <c r="C69" s="94" t="s">
        <v>243</v>
      </c>
      <c r="D69" s="469" t="s">
        <v>547</v>
      </c>
      <c r="E69" s="470"/>
      <c r="F69" s="470"/>
      <c r="G69" s="470"/>
      <c r="H69" s="470"/>
      <c r="I69" s="470"/>
      <c r="J69" s="470"/>
      <c r="K69" s="470"/>
      <c r="L69" s="470"/>
      <c r="M69" s="470"/>
      <c r="N69" s="471"/>
      <c r="O69" s="71"/>
      <c r="P69" s="95" t="str">
        <f t="shared" si="5"/>
        <v/>
      </c>
      <c r="Q69" s="173"/>
      <c r="R69"/>
      <c r="U69"/>
      <c r="V69"/>
      <c r="W69"/>
      <c r="X69"/>
      <c r="Y69"/>
      <c r="Z69"/>
      <c r="AA69"/>
      <c r="AB69"/>
    </row>
    <row r="70" spans="1:28" ht="21" customHeight="1" x14ac:dyDescent="0.25">
      <c r="A70" s="107" t="s">
        <v>70</v>
      </c>
      <c r="C70" s="608" t="s">
        <v>283</v>
      </c>
      <c r="D70" s="486"/>
      <c r="E70" s="486"/>
      <c r="F70" s="486"/>
      <c r="G70" s="486"/>
      <c r="H70" s="486"/>
      <c r="I70" s="486"/>
      <c r="J70" s="486"/>
      <c r="K70" s="486"/>
      <c r="L70" s="486"/>
      <c r="M70" s="486"/>
      <c r="N70" s="486"/>
      <c r="O70" s="348"/>
      <c r="P70" s="342"/>
      <c r="Q70" s="173"/>
      <c r="R70"/>
      <c r="U70"/>
      <c r="V70"/>
      <c r="W70"/>
      <c r="X70"/>
      <c r="Y70"/>
      <c r="Z70"/>
      <c r="AA70"/>
      <c r="AB70"/>
    </row>
    <row r="71" spans="1:28" ht="29.25" customHeight="1" x14ac:dyDescent="0.25">
      <c r="A71" s="107" t="s">
        <v>285</v>
      </c>
      <c r="B71" s="93"/>
      <c r="C71" s="581" t="s">
        <v>17</v>
      </c>
      <c r="D71" s="470"/>
      <c r="E71" s="470"/>
      <c r="F71" s="470"/>
      <c r="G71" s="470"/>
      <c r="H71" s="470"/>
      <c r="I71" s="470"/>
      <c r="J71" s="470"/>
      <c r="K71" s="470"/>
      <c r="L71" s="470"/>
      <c r="M71" s="470"/>
      <c r="N71" s="470"/>
      <c r="O71" s="345"/>
      <c r="Q71" s="352"/>
      <c r="R71"/>
      <c r="U71"/>
      <c r="V71"/>
      <c r="W71"/>
      <c r="X71"/>
      <c r="Y71"/>
      <c r="Z71"/>
      <c r="AA71"/>
      <c r="AB71"/>
    </row>
    <row r="72" spans="1:28" ht="21.75" customHeight="1" x14ac:dyDescent="0.25">
      <c r="A72" s="107" t="s">
        <v>76</v>
      </c>
      <c r="B72" s="107" t="s">
        <v>286</v>
      </c>
      <c r="C72" s="100" t="s">
        <v>264</v>
      </c>
      <c r="D72" s="573" t="s">
        <v>77</v>
      </c>
      <c r="E72" s="574"/>
      <c r="F72" s="574"/>
      <c r="G72" s="574"/>
      <c r="H72" s="574"/>
      <c r="I72" s="574"/>
      <c r="J72" s="574"/>
      <c r="K72" s="574"/>
      <c r="L72" s="574"/>
      <c r="M72" s="574"/>
      <c r="N72" s="574"/>
      <c r="O72" s="101" t="s">
        <v>265</v>
      </c>
      <c r="P72" s="101" t="s">
        <v>266</v>
      </c>
      <c r="Q72" s="172"/>
      <c r="R72"/>
      <c r="U72"/>
      <c r="V72"/>
      <c r="W72"/>
      <c r="X72"/>
      <c r="Y72"/>
      <c r="Z72"/>
      <c r="AA72"/>
      <c r="AB72"/>
    </row>
    <row r="73" spans="1:28" ht="36" customHeight="1" x14ac:dyDescent="0.2">
      <c r="A73" s="107" t="s">
        <v>287</v>
      </c>
      <c r="B73" s="107" t="s">
        <v>80</v>
      </c>
      <c r="C73" s="102" t="s">
        <v>245</v>
      </c>
      <c r="D73" s="607" t="s">
        <v>284</v>
      </c>
      <c r="E73" s="470"/>
      <c r="F73" s="470"/>
      <c r="G73" s="470"/>
      <c r="H73" s="470"/>
      <c r="I73" s="470"/>
      <c r="J73" s="470"/>
      <c r="K73" s="470"/>
      <c r="L73" s="470"/>
      <c r="M73" s="470"/>
      <c r="N73" s="470"/>
      <c r="O73" s="71"/>
      <c r="P73" s="95" t="str">
        <f>IF(O73="","",IF(O73="Yes","Fail",IF(O73="No","Pass","N/A")))</f>
        <v/>
      </c>
      <c r="R73"/>
      <c r="U73"/>
      <c r="V73"/>
      <c r="W73"/>
      <c r="X73"/>
      <c r="Y73"/>
      <c r="Z73"/>
      <c r="AA73"/>
      <c r="AB73"/>
    </row>
    <row r="74" spans="1:28" ht="189" customHeight="1" x14ac:dyDescent="0.2">
      <c r="A74" s="107" t="s">
        <v>288</v>
      </c>
      <c r="B74" s="93"/>
      <c r="C74" s="102" t="s">
        <v>246</v>
      </c>
      <c r="D74" s="609" t="s">
        <v>552</v>
      </c>
      <c r="E74" s="470"/>
      <c r="F74" s="470"/>
      <c r="G74" s="470"/>
      <c r="H74" s="470"/>
      <c r="I74" s="470"/>
      <c r="J74" s="470"/>
      <c r="K74" s="470"/>
      <c r="L74" s="470"/>
      <c r="M74" s="470"/>
      <c r="N74" s="470"/>
      <c r="O74" s="71"/>
      <c r="P74" s="95" t="str">
        <f>IF(O74="","",IF(O74="Yes","Fail",IF(O74="No","Pass","N/A")))</f>
        <v/>
      </c>
      <c r="Q74" s="359"/>
      <c r="R74"/>
      <c r="U74"/>
      <c r="V74"/>
      <c r="W74"/>
      <c r="X74"/>
      <c r="Y74"/>
      <c r="Z74"/>
      <c r="AA74"/>
      <c r="AB74"/>
    </row>
    <row r="75" spans="1:28" ht="94.5" customHeight="1" x14ac:dyDescent="0.2">
      <c r="A75" s="107" t="s">
        <v>81</v>
      </c>
      <c r="B75" s="93"/>
      <c r="C75" s="102" t="s">
        <v>247</v>
      </c>
      <c r="D75" s="609" t="s">
        <v>551</v>
      </c>
      <c r="E75" s="470"/>
      <c r="F75" s="470"/>
      <c r="G75" s="470"/>
      <c r="H75" s="470"/>
      <c r="I75" s="470"/>
      <c r="J75" s="470"/>
      <c r="K75" s="470"/>
      <c r="L75" s="470"/>
      <c r="M75" s="470"/>
      <c r="N75" s="470"/>
      <c r="O75" s="71"/>
      <c r="P75" s="95" t="str">
        <f t="shared" ref="P75:P82" si="6">IF(O75="","",IF(O75="Yes","Pass",IF(O75="No","Fail","N/A")))</f>
        <v/>
      </c>
      <c r="Q75" s="173"/>
      <c r="R75"/>
      <c r="U75"/>
      <c r="V75"/>
      <c r="W75"/>
      <c r="X75"/>
      <c r="Y75"/>
      <c r="Z75"/>
      <c r="AA75"/>
      <c r="AB75"/>
    </row>
    <row r="76" spans="1:28" ht="126" customHeight="1" x14ac:dyDescent="0.2">
      <c r="A76" s="107" t="s">
        <v>69</v>
      </c>
      <c r="B76" s="93"/>
      <c r="C76" s="102" t="s">
        <v>248</v>
      </c>
      <c r="D76" s="579" t="s">
        <v>550</v>
      </c>
      <c r="E76" s="572"/>
      <c r="F76" s="572"/>
      <c r="G76" s="572"/>
      <c r="H76" s="572"/>
      <c r="I76" s="572"/>
      <c r="J76" s="572"/>
      <c r="K76" s="572"/>
      <c r="L76" s="572"/>
      <c r="M76" s="572"/>
      <c r="N76" s="572"/>
      <c r="O76" s="71"/>
      <c r="P76" s="95" t="str">
        <f t="shared" si="6"/>
        <v/>
      </c>
      <c r="Q76" s="173"/>
      <c r="R76"/>
      <c r="U76"/>
      <c r="V76"/>
      <c r="W76"/>
      <c r="X76"/>
      <c r="Y76"/>
      <c r="Z76"/>
      <c r="AA76"/>
      <c r="AB76"/>
    </row>
    <row r="77" spans="1:28" ht="78" customHeight="1" x14ac:dyDescent="0.2">
      <c r="A77" s="107" t="s">
        <v>288</v>
      </c>
      <c r="B77" s="93"/>
      <c r="C77" s="102" t="s">
        <v>249</v>
      </c>
      <c r="D77" s="579" t="s">
        <v>289</v>
      </c>
      <c r="E77" s="572"/>
      <c r="F77" s="572"/>
      <c r="G77" s="572"/>
      <c r="H77" s="572"/>
      <c r="I77" s="572"/>
      <c r="J77" s="572"/>
      <c r="K77" s="572"/>
      <c r="L77" s="572"/>
      <c r="M77" s="572"/>
      <c r="N77" s="582"/>
      <c r="O77" s="71"/>
      <c r="P77" s="95" t="str">
        <f t="shared" si="6"/>
        <v/>
      </c>
      <c r="Q77" s="173"/>
      <c r="R77"/>
      <c r="U77"/>
      <c r="V77"/>
      <c r="W77"/>
      <c r="X77"/>
      <c r="Y77"/>
      <c r="Z77"/>
      <c r="AA77"/>
      <c r="AB77"/>
    </row>
    <row r="78" spans="1:28" ht="108.75" customHeight="1" x14ac:dyDescent="0.2">
      <c r="A78" s="107" t="s">
        <v>73</v>
      </c>
      <c r="B78" s="93"/>
      <c r="C78" s="102" t="s">
        <v>250</v>
      </c>
      <c r="D78" s="579" t="s">
        <v>543</v>
      </c>
      <c r="E78" s="572"/>
      <c r="F78" s="572"/>
      <c r="G78" s="572"/>
      <c r="H78" s="572"/>
      <c r="I78" s="572"/>
      <c r="J78" s="572"/>
      <c r="K78" s="572"/>
      <c r="L78" s="572"/>
      <c r="M78" s="572"/>
      <c r="N78" s="582"/>
      <c r="O78" s="71"/>
      <c r="P78" s="95" t="str">
        <f t="shared" si="6"/>
        <v/>
      </c>
      <c r="Q78" s="173"/>
      <c r="R78"/>
      <c r="U78"/>
      <c r="V78"/>
      <c r="W78"/>
      <c r="X78"/>
      <c r="Y78"/>
      <c r="Z78"/>
      <c r="AA78"/>
      <c r="AB78"/>
    </row>
    <row r="79" spans="1:28" ht="36" customHeight="1" x14ac:dyDescent="0.2">
      <c r="A79" s="107" t="s">
        <v>81</v>
      </c>
      <c r="B79" s="93"/>
      <c r="C79" s="102" t="s">
        <v>251</v>
      </c>
      <c r="D79" s="567" t="s">
        <v>290</v>
      </c>
      <c r="E79" s="572"/>
      <c r="F79" s="572"/>
      <c r="G79" s="572"/>
      <c r="H79" s="572"/>
      <c r="I79" s="572"/>
      <c r="J79" s="572"/>
      <c r="K79" s="572"/>
      <c r="L79" s="572"/>
      <c r="M79" s="572"/>
      <c r="N79" s="582"/>
      <c r="O79" s="71"/>
      <c r="P79" s="95" t="str">
        <f t="shared" si="6"/>
        <v/>
      </c>
      <c r="Q79" s="173"/>
      <c r="R79"/>
      <c r="U79"/>
      <c r="V79"/>
      <c r="W79"/>
      <c r="X79"/>
      <c r="Y79"/>
      <c r="Z79"/>
      <c r="AA79"/>
      <c r="AB79"/>
    </row>
    <row r="80" spans="1:28" ht="91.5" customHeight="1" x14ac:dyDescent="0.2">
      <c r="A80" s="107" t="s">
        <v>81</v>
      </c>
      <c r="B80" s="93"/>
      <c r="C80" s="102" t="s">
        <v>252</v>
      </c>
      <c r="D80" s="579" t="s">
        <v>549</v>
      </c>
      <c r="E80" s="572"/>
      <c r="F80" s="572"/>
      <c r="G80" s="572"/>
      <c r="H80" s="572"/>
      <c r="I80" s="572"/>
      <c r="J80" s="572"/>
      <c r="K80" s="572"/>
      <c r="L80" s="572"/>
      <c r="M80" s="572"/>
      <c r="N80" s="582"/>
      <c r="O80" s="71"/>
      <c r="P80" s="95" t="str">
        <f t="shared" si="6"/>
        <v/>
      </c>
      <c r="Q80" s="173"/>
      <c r="R80"/>
      <c r="U80"/>
      <c r="V80"/>
      <c r="W80"/>
      <c r="X80"/>
      <c r="Y80"/>
      <c r="Z80"/>
      <c r="AA80"/>
      <c r="AB80"/>
    </row>
    <row r="81" spans="1:18" ht="61.5" customHeight="1" x14ac:dyDescent="0.2">
      <c r="A81" s="107" t="s">
        <v>288</v>
      </c>
      <c r="B81" s="93"/>
      <c r="C81" s="102" t="s">
        <v>253</v>
      </c>
      <c r="D81" s="579" t="s">
        <v>291</v>
      </c>
      <c r="E81" s="572"/>
      <c r="F81" s="572"/>
      <c r="G81" s="572"/>
      <c r="H81" s="572"/>
      <c r="I81" s="572"/>
      <c r="J81" s="572"/>
      <c r="K81" s="572"/>
      <c r="L81" s="572"/>
      <c r="M81" s="572"/>
      <c r="N81" s="582"/>
      <c r="O81" s="71"/>
      <c r="P81" s="95" t="str">
        <f t="shared" si="6"/>
        <v/>
      </c>
      <c r="Q81"/>
      <c r="R81"/>
    </row>
    <row r="82" spans="1:18" ht="78.75" customHeight="1" x14ac:dyDescent="0.2">
      <c r="A82" s="106">
        <v>1</v>
      </c>
      <c r="B82" s="93"/>
      <c r="C82" s="102" t="s">
        <v>254</v>
      </c>
      <c r="D82" s="609" t="s">
        <v>548</v>
      </c>
      <c r="E82" s="470"/>
      <c r="F82" s="470"/>
      <c r="G82" s="470"/>
      <c r="H82" s="470"/>
      <c r="I82" s="470"/>
      <c r="J82" s="470"/>
      <c r="K82" s="470"/>
      <c r="L82" s="470"/>
      <c r="M82" s="470"/>
      <c r="N82" s="471"/>
      <c r="O82" s="71"/>
      <c r="P82" s="95" t="str">
        <f t="shared" si="6"/>
        <v/>
      </c>
      <c r="Q82"/>
      <c r="R82"/>
    </row>
    <row r="83" spans="1:18" ht="20.25" customHeight="1" x14ac:dyDescent="0.2">
      <c r="A83" s="107" t="s">
        <v>73</v>
      </c>
      <c r="C83" s="469" t="s">
        <v>292</v>
      </c>
      <c r="D83" s="470"/>
      <c r="E83" s="470"/>
      <c r="F83" s="470"/>
      <c r="G83" s="470"/>
      <c r="H83" s="470"/>
      <c r="I83" s="470"/>
      <c r="J83" s="470"/>
      <c r="K83" s="470"/>
      <c r="L83" s="470"/>
      <c r="M83" s="470"/>
      <c r="N83" s="470"/>
      <c r="O83" s="346"/>
      <c r="P83" s="95"/>
      <c r="Q83"/>
      <c r="R83"/>
    </row>
    <row r="84" spans="1:18" ht="21" customHeight="1" x14ac:dyDescent="0.2">
      <c r="B84" s="93"/>
      <c r="C84" s="581" t="s">
        <v>17</v>
      </c>
      <c r="D84" s="470"/>
      <c r="E84" s="470"/>
      <c r="F84" s="470"/>
      <c r="G84" s="470"/>
      <c r="H84" s="470"/>
      <c r="I84" s="470"/>
      <c r="J84" s="470"/>
      <c r="K84" s="470"/>
      <c r="L84" s="470"/>
      <c r="M84" s="470"/>
      <c r="N84" s="470"/>
      <c r="O84" s="345"/>
      <c r="P84" s="346"/>
      <c r="Q84"/>
      <c r="R84"/>
    </row>
    <row r="85" spans="1:18" ht="18" x14ac:dyDescent="0.2">
      <c r="P85" s="345"/>
      <c r="Q85" s="173"/>
      <c r="R85" s="173"/>
    </row>
    <row r="86" spans="1:18" ht="18" x14ac:dyDescent="0.2">
      <c r="P86" s="105"/>
      <c r="Q86" s="173"/>
      <c r="R86" s="173"/>
    </row>
    <row r="87" spans="1:18" x14ac:dyDescent="0.2">
      <c r="P87" s="105"/>
      <c r="Q87" s="105"/>
      <c r="R87" s="105"/>
    </row>
    <row r="88" spans="1:18" x14ac:dyDescent="0.2">
      <c r="Q88" s="105"/>
      <c r="R88" s="105"/>
    </row>
    <row r="89" spans="1:18" x14ac:dyDescent="0.2">
      <c r="Q89" s="105"/>
      <c r="R89" s="105"/>
    </row>
    <row r="90" spans="1:18" x14ac:dyDescent="0.2">
      <c r="Q90" s="105"/>
      <c r="R90" s="105"/>
    </row>
  </sheetData>
  <sheetProtection algorithmName="SHA-512" hashValue="c8AF1h9H+IGxpA1aiHrwIF6XixJgAILaF+xQ2HOC21LGtXy6Cp8ipgdiHkrZll8jt2O+0CzCTqmEdSj+0z8xVQ==" saltValue="KNgTnK132JfCebIN6xsiJA==" spinCount="100000" sheet="1" objects="1" scenarios="1"/>
  <mergeCells count="83">
    <mergeCell ref="D82:N82"/>
    <mergeCell ref="C83:N83"/>
    <mergeCell ref="C84:N84"/>
    <mergeCell ref="C34:N34"/>
    <mergeCell ref="C35:N35"/>
    <mergeCell ref="D37:N37"/>
    <mergeCell ref="D49:N49"/>
    <mergeCell ref="C50:N50"/>
    <mergeCell ref="D76:N76"/>
    <mergeCell ref="D77:N77"/>
    <mergeCell ref="D78:N78"/>
    <mergeCell ref="D64:N64"/>
    <mergeCell ref="D54:N54"/>
    <mergeCell ref="D63:N63"/>
    <mergeCell ref="D58:N58"/>
    <mergeCell ref="D60:N60"/>
    <mergeCell ref="C61:N61"/>
    <mergeCell ref="C62:N62"/>
    <mergeCell ref="D69:N69"/>
    <mergeCell ref="C71:N71"/>
    <mergeCell ref="D56:N56"/>
    <mergeCell ref="D57:N57"/>
    <mergeCell ref="D52:N52"/>
    <mergeCell ref="D53:N53"/>
    <mergeCell ref="D59:N59"/>
    <mergeCell ref="D13:N13"/>
    <mergeCell ref="D14:N14"/>
    <mergeCell ref="D29:N29"/>
    <mergeCell ref="C51:N51"/>
    <mergeCell ref="D40:N40"/>
    <mergeCell ref="D47:N47"/>
    <mergeCell ref="D48:N48"/>
    <mergeCell ref="D43:N43"/>
    <mergeCell ref="D44:N44"/>
    <mergeCell ref="D45:N45"/>
    <mergeCell ref="D46:N46"/>
    <mergeCell ref="D42:N42"/>
    <mergeCell ref="D41:N41"/>
    <mergeCell ref="D19:N19"/>
    <mergeCell ref="C20:N20"/>
    <mergeCell ref="C21:N21"/>
    <mergeCell ref="D15:N15"/>
    <mergeCell ref="D16:N16"/>
    <mergeCell ref="D17:N17"/>
    <mergeCell ref="D18:N18"/>
    <mergeCell ref="D22:N22"/>
    <mergeCell ref="D31:N31"/>
    <mergeCell ref="D32:N32"/>
    <mergeCell ref="D23:N23"/>
    <mergeCell ref="D24:N24"/>
    <mergeCell ref="D25:N25"/>
    <mergeCell ref="D26:N26"/>
    <mergeCell ref="C27:N27"/>
    <mergeCell ref="D30:N30"/>
    <mergeCell ref="C28:N28"/>
    <mergeCell ref="S1:U1"/>
    <mergeCell ref="T4:U4"/>
    <mergeCell ref="C1:G1"/>
    <mergeCell ref="C2:G2"/>
    <mergeCell ref="D12:N12"/>
    <mergeCell ref="K1:L1"/>
    <mergeCell ref="K2:L2"/>
    <mergeCell ref="E5:G5"/>
    <mergeCell ref="D8:N8"/>
    <mergeCell ref="D9:N9"/>
    <mergeCell ref="D10:N10"/>
    <mergeCell ref="D11:N11"/>
    <mergeCell ref="D33:N33"/>
    <mergeCell ref="D81:N81"/>
    <mergeCell ref="D65:N65"/>
    <mergeCell ref="D66:N66"/>
    <mergeCell ref="D67:N67"/>
    <mergeCell ref="D80:N80"/>
    <mergeCell ref="D79:N79"/>
    <mergeCell ref="D68:N68"/>
    <mergeCell ref="D72:N72"/>
    <mergeCell ref="D73:N73"/>
    <mergeCell ref="D74:N74"/>
    <mergeCell ref="D75:N75"/>
    <mergeCell ref="D36:N36"/>
    <mergeCell ref="D39:N39"/>
    <mergeCell ref="C70:N70"/>
    <mergeCell ref="D55:N55"/>
  </mergeCells>
  <conditionalFormatting sqref="M5">
    <cfRule type="containsText" dxfId="74" priority="4" operator="containsText" text="Fail">
      <formula>NOT(ISERROR(SEARCH("Fail",M5)))</formula>
    </cfRule>
  </conditionalFormatting>
  <conditionalFormatting sqref="P8:R19 P20 P22:R26 P29:R33 Q34:Q46 P36:P37 P39:P49 Q51:Q59 P52:P60 P63:P69 Q63:Q70 P72:P83 Q74:Q80">
    <cfRule type="containsText" dxfId="73" priority="1" operator="containsText" text="Fail">
      <formula>NOT(ISERROR(SEARCH("Fail",P8)))</formula>
    </cfRule>
  </conditionalFormatting>
  <conditionalFormatting sqref="Q85:R86">
    <cfRule type="containsText" dxfId="72" priority="6" operator="containsText" text="Fail">
      <formula>NOT(ISERROR(SEARCH("Fail",Q85)))</formula>
    </cfRule>
  </conditionalFormatting>
  <conditionalFormatting sqref="U1:U3 T4">
    <cfRule type="containsText" dxfId="71" priority="2" operator="containsText" text="Fail">
      <formula>NOT(ISERROR(SEARCH("Fail",T1)))</formula>
    </cfRule>
  </conditionalFormatting>
  <conditionalFormatting sqref="AE9">
    <cfRule type="containsText" dxfId="70" priority="5" operator="containsText" text="Fail">
      <formula>NOT(ISERROR(SEARCH("Fail",AE9)))</formula>
    </cfRule>
  </conditionalFormatting>
  <dataValidations count="4">
    <dataValidation type="whole" operator="greaterThan" allowBlank="1" showInputMessage="1" showErrorMessage="1" sqref="X9:X34" xr:uid="{3C7EC2EC-6CDE-49BD-A943-BD2036AE2EDA}">
      <formula1>0</formula1>
    </dataValidation>
    <dataValidation type="date" operator="greaterThan" allowBlank="1" showInputMessage="1" showErrorMessage="1" sqref="W9:W34" xr:uid="{32907BFC-5D0D-4301-8778-D51B06EDF8B8}">
      <formula1>36526</formula1>
    </dataValidation>
    <dataValidation type="list" showErrorMessage="1" errorTitle="Invalid Selection" error="Select either Yes, No, or N/A from the dropdown list. Click &quot;Cancel&quot; below, then update selection." sqref="O73:O82 O23:O26 O53:O60 O39:O49 O64:O69 O37 O30:O33 O9:O19" xr:uid="{98833CE6-55D1-453B-B90A-8F4DDF2D922C}">
      <formula1>"Yes,No,N/A"</formula1>
    </dataValidation>
    <dataValidation type="decimal" operator="greaterThanOrEqual" allowBlank="1" showInputMessage="1" showErrorMessage="1" errorTitle="Input Error" error="Insert the claimed amount with dollars and cents in $0.00 format. Click &quot;Cancel&quot; below and try again." sqref="Y9:Y34" xr:uid="{BB96A892-7207-43C4-9775-7DCD04C33BDA}">
      <formula1>0</formula1>
    </dataValidation>
  </dataValidations>
  <pageMargins left="0.7" right="0.7" top="1" bottom="0.75" header="0.3" footer="0.3"/>
  <pageSetup scale="70" fitToHeight="0" orientation="portrait" r:id="rId1"/>
  <headerFooter>
    <oddHeader>&amp;CConfidential QI Report
San Diego County Mental Health Plan
Behavioral Health Services
Fiscal Year 23-24</oddHeader>
    <oddFooter>&amp;LFY 23-24 Medical Record Review Report - Excel - Rev. 7-1-23</oddFooter>
  </headerFooter>
  <colBreaks count="1" manualBreakCount="1">
    <brk id="15" max="84"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7E57F44D-35F4-4238-8298-C96B0BD23147}">
          <x14:formula1>
            <xm:f>Validations!$E$4:$E$15</xm:f>
          </x14:formula1>
          <xm:sqref>Z9:Z34</xm:sqref>
        </x14:dataValidation>
        <x14:dataValidation type="list" allowBlank="1" showInputMessage="1" showErrorMessage="1" xr:uid="{D88C47EE-931E-4EC2-9F50-2041FC56846D}">
          <x14:formula1>
            <xm:f>Validations!$D$4:$D$7</xm:f>
          </x14:formula1>
          <xm:sqref>AA9:AA34</xm:sqref>
        </x14:dataValidation>
        <x14:dataValidation type="list" allowBlank="1" showInputMessage="1" showErrorMessage="1" xr:uid="{CDFB66B2-4D6B-4229-ACA3-702E7760A9AC}">
          <x14:formula1>
            <xm:f>Validations!$C$4:$C$54</xm:f>
          </x14:formula1>
          <xm:sqref>V9:V34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E99D5-0E79-47B1-84CC-3A29E8612E01}">
  <sheetPr codeName="Sheet9">
    <tabColor theme="3" tint="0.39997558519241921"/>
  </sheetPr>
  <dimension ref="A1:AE90"/>
  <sheetViews>
    <sheetView showGridLines="0" view="pageBreakPreview" zoomScale="92" zoomScaleNormal="80" zoomScaleSheetLayoutView="92" workbookViewId="0">
      <selection activeCell="D12" sqref="D12:N12"/>
    </sheetView>
  </sheetViews>
  <sheetFormatPr defaultColWidth="9.5703125" defaultRowHeight="15" x14ac:dyDescent="0.2"/>
  <cols>
    <col min="1" max="1" width="7.7109375" style="106" customWidth="1"/>
    <col min="2" max="2" width="8.42578125" style="4" customWidth="1"/>
    <col min="3" max="3" width="8.42578125" style="5" customWidth="1"/>
    <col min="4" max="4" width="2.5703125" style="1" customWidth="1"/>
    <col min="5" max="5" width="7.140625" style="1" customWidth="1"/>
    <col min="6" max="6" width="8.5703125" style="1" customWidth="1"/>
    <col min="7" max="7" width="6.42578125" style="1" customWidth="1"/>
    <col min="8" max="8" width="4.7109375" style="1" customWidth="1"/>
    <col min="9" max="9" width="27.28515625" style="1" customWidth="1"/>
    <col min="10" max="10" width="2.5703125" style="1" customWidth="1"/>
    <col min="11" max="11" width="18.140625" style="1" customWidth="1"/>
    <col min="12" max="12" width="3.42578125" style="1" customWidth="1"/>
    <col min="13" max="13" width="12.140625" style="1" customWidth="1"/>
    <col min="14" max="14" width="9.5703125" style="1" customWidth="1"/>
    <col min="15" max="15" width="13.28515625" style="1" customWidth="1"/>
    <col min="16" max="16" width="8.7109375" style="1" hidden="1" customWidth="1"/>
    <col min="17" max="18" width="2" style="1" customWidth="1"/>
    <col min="19" max="19" width="11.7109375" customWidth="1"/>
    <col min="20" max="20" width="10.5703125" customWidth="1"/>
    <col min="21" max="21" width="13.140625" style="1" customWidth="1"/>
    <col min="22" max="22" width="23.42578125" style="1" customWidth="1"/>
    <col min="23" max="23" width="12.42578125" style="1" customWidth="1"/>
    <col min="24" max="25" width="9.5703125" style="1"/>
    <col min="26" max="26" width="12.140625" style="1" customWidth="1"/>
    <col min="27" max="27" width="14.140625" style="1" customWidth="1"/>
    <col min="28" max="28" width="20.85546875" style="1" customWidth="1"/>
    <col min="29" max="16384" width="9.5703125" style="1"/>
  </cols>
  <sheetData>
    <row r="1" spans="1:31" s="5" customFormat="1" ht="15.75" x14ac:dyDescent="0.25">
      <c r="A1" s="106"/>
      <c r="B1" s="4"/>
      <c r="C1" s="560" t="s">
        <v>338</v>
      </c>
      <c r="D1" s="561"/>
      <c r="E1" s="561"/>
      <c r="F1" s="561"/>
      <c r="G1" s="562"/>
      <c r="H1"/>
      <c r="I1" s="86" t="s">
        <v>38</v>
      </c>
      <c r="J1" s="153"/>
      <c r="K1" s="560" t="s">
        <v>12</v>
      </c>
      <c r="L1" s="562"/>
      <c r="N1"/>
      <c r="O1"/>
      <c r="P1"/>
      <c r="Q1"/>
      <c r="R1"/>
      <c r="S1" s="560" t="s">
        <v>260</v>
      </c>
      <c r="T1" s="561"/>
      <c r="U1" s="562"/>
      <c r="V1"/>
      <c r="W1"/>
      <c r="X1"/>
      <c r="Y1"/>
      <c r="Z1"/>
      <c r="AA1"/>
      <c r="AB1"/>
    </row>
    <row r="2" spans="1:31" s="5" customFormat="1" ht="15" customHeight="1" x14ac:dyDescent="0.2">
      <c r="A2" s="106"/>
      <c r="B2" s="4"/>
      <c r="C2" s="583">
        <f>'Chart Review Info'!D3</f>
        <v>0</v>
      </c>
      <c r="D2" s="584"/>
      <c r="E2" s="584"/>
      <c r="F2" s="584"/>
      <c r="G2" s="585"/>
      <c r="H2"/>
      <c r="I2" s="150">
        <f>'Chart Review Info'!D4</f>
        <v>0</v>
      </c>
      <c r="J2" s="153"/>
      <c r="K2" s="592">
        <f>'Chart Review Info'!F20</f>
        <v>0</v>
      </c>
      <c r="L2" s="591"/>
      <c r="N2"/>
      <c r="O2"/>
      <c r="P2"/>
      <c r="Q2"/>
      <c r="R2"/>
      <c r="S2" s="55">
        <f>'Chart Review Info'!G4</f>
        <v>0</v>
      </c>
      <c r="T2" s="82" t="s">
        <v>261</v>
      </c>
      <c r="U2" s="83">
        <f>'Chart Review Info'!G5</f>
        <v>0</v>
      </c>
      <c r="V2"/>
      <c r="W2"/>
      <c r="X2"/>
      <c r="Y2"/>
      <c r="Z2"/>
      <c r="AA2"/>
      <c r="AB2"/>
    </row>
    <row r="3" spans="1:31" s="5" customFormat="1" x14ac:dyDescent="0.2">
      <c r="A3" s="106"/>
      <c r="B3" s="4"/>
      <c r="C3" s="84"/>
      <c r="H3"/>
      <c r="J3" s="98"/>
      <c r="V3"/>
      <c r="W3"/>
      <c r="X3"/>
      <c r="Y3"/>
      <c r="Z3"/>
      <c r="AA3"/>
      <c r="AB3"/>
    </row>
    <row r="4" spans="1:31" s="5" customFormat="1" ht="15.75" x14ac:dyDescent="0.25">
      <c r="A4" s="106"/>
      <c r="B4" s="4"/>
      <c r="C4" s="85" t="s">
        <v>202</v>
      </c>
      <c r="E4" s="85" t="s">
        <v>86</v>
      </c>
      <c r="F4" s="86"/>
      <c r="G4" s="85"/>
      <c r="H4"/>
      <c r="I4" s="151" t="s">
        <v>350</v>
      </c>
      <c r="J4" s="98"/>
      <c r="K4" s="87" t="s">
        <v>260</v>
      </c>
      <c r="L4" s="88"/>
      <c r="O4" s="86" t="s">
        <v>294</v>
      </c>
      <c r="P4"/>
      <c r="Q4"/>
      <c r="R4"/>
      <c r="S4" s="85" t="s">
        <v>12</v>
      </c>
      <c r="T4" s="563">
        <f>Prog_7</f>
        <v>0</v>
      </c>
      <c r="U4" s="564"/>
      <c r="V4"/>
      <c r="W4"/>
      <c r="X4"/>
      <c r="Y4"/>
      <c r="Z4"/>
      <c r="AA4"/>
      <c r="AB4"/>
    </row>
    <row r="5" spans="1:31" s="5" customFormat="1" x14ac:dyDescent="0.2">
      <c r="A5" s="106"/>
      <c r="B5" s="4"/>
      <c r="C5" s="54">
        <v>7</v>
      </c>
      <c r="E5" s="589" t="str">
        <f>'Chart Review Info'!C20</f>
        <v>N/A</v>
      </c>
      <c r="F5" s="590"/>
      <c r="G5" s="591"/>
      <c r="H5"/>
      <c r="I5" s="152">
        <f>Consum_7</f>
        <v>0</v>
      </c>
      <c r="J5" s="98"/>
      <c r="K5" s="293">
        <f>'Chart Review Info'!G4</f>
        <v>0</v>
      </c>
      <c r="L5" s="102" t="s">
        <v>261</v>
      </c>
      <c r="M5" s="293">
        <f>'Chart Review Info'!G5</f>
        <v>0</v>
      </c>
      <c r="O5" s="54">
        <f>'Chart Review Info'!G20</f>
        <v>0</v>
      </c>
      <c r="P5"/>
      <c r="Q5"/>
      <c r="R5"/>
      <c r="S5"/>
      <c r="T5"/>
      <c r="V5"/>
      <c r="W5"/>
      <c r="X5"/>
      <c r="Y5" s="6" t="s">
        <v>514</v>
      </c>
      <c r="Z5"/>
      <c r="AA5"/>
      <c r="AB5"/>
    </row>
    <row r="6" spans="1:31" x14ac:dyDescent="0.2">
      <c r="C6" s="154"/>
      <c r="D6" s="158"/>
      <c r="E6" s="155"/>
      <c r="F6" s="155"/>
      <c r="G6" s="155"/>
      <c r="H6" s="155"/>
      <c r="I6" s="155"/>
      <c r="J6" s="155"/>
      <c r="K6" s="155"/>
      <c r="L6" s="155"/>
      <c r="M6" s="155"/>
      <c r="N6" s="155"/>
      <c r="O6" s="155"/>
      <c r="P6" s="155"/>
      <c r="Q6" s="155"/>
      <c r="R6" s="155"/>
      <c r="T6" s="1"/>
      <c r="W6" s="51"/>
      <c r="Y6" s="329">
        <f>SUM(Y9:Y16)</f>
        <v>0</v>
      </c>
      <c r="AA6" s="13"/>
      <c r="AB6" s="13"/>
    </row>
    <row r="7" spans="1:31" ht="23.25" x14ac:dyDescent="0.25">
      <c r="C7" s="89" t="s">
        <v>262</v>
      </c>
      <c r="D7" s="159"/>
      <c r="E7" s="90"/>
      <c r="F7" s="90"/>
      <c r="G7" s="90"/>
      <c r="H7" s="90"/>
      <c r="I7" s="90"/>
      <c r="J7" s="90"/>
      <c r="K7" s="90"/>
      <c r="L7" s="90"/>
      <c r="M7" s="90"/>
      <c r="N7" s="90"/>
      <c r="O7" s="90"/>
      <c r="P7" s="90"/>
      <c r="S7" s="20"/>
      <c r="T7" s="21"/>
      <c r="U7" s="21"/>
      <c r="V7" s="21"/>
      <c r="W7" s="21"/>
      <c r="X7" s="160" t="s">
        <v>263</v>
      </c>
      <c r="Y7" s="160"/>
      <c r="Z7" s="160"/>
      <c r="AA7" s="22"/>
      <c r="AB7" s="23"/>
    </row>
    <row r="8" spans="1:31" ht="27" customHeight="1" x14ac:dyDescent="0.25">
      <c r="C8" s="91" t="s">
        <v>264</v>
      </c>
      <c r="D8" s="588" t="s">
        <v>68</v>
      </c>
      <c r="E8" s="574"/>
      <c r="F8" s="574"/>
      <c r="G8" s="574"/>
      <c r="H8" s="574"/>
      <c r="I8" s="574"/>
      <c r="J8" s="574"/>
      <c r="K8" s="574"/>
      <c r="L8" s="574"/>
      <c r="M8" s="574"/>
      <c r="N8" s="574"/>
      <c r="O8" s="92" t="s">
        <v>265</v>
      </c>
      <c r="P8" s="92" t="s">
        <v>266</v>
      </c>
      <c r="Q8" s="359"/>
      <c r="R8" s="351"/>
      <c r="S8" s="7" t="s">
        <v>449</v>
      </c>
      <c r="T8" s="9" t="s">
        <v>87</v>
      </c>
      <c r="U8" s="7" t="s">
        <v>88</v>
      </c>
      <c r="V8" s="7" t="s">
        <v>89</v>
      </c>
      <c r="W8" s="7" t="s">
        <v>90</v>
      </c>
      <c r="X8" s="7" t="s">
        <v>644</v>
      </c>
      <c r="Y8" s="8" t="s">
        <v>201</v>
      </c>
      <c r="Z8" s="116" t="s">
        <v>91</v>
      </c>
      <c r="AA8" s="117" t="s">
        <v>95</v>
      </c>
      <c r="AB8" s="117" t="s">
        <v>92</v>
      </c>
    </row>
    <row r="9" spans="1:31" ht="60" customHeight="1" x14ac:dyDescent="0.2">
      <c r="A9" s="212" t="s">
        <v>73</v>
      </c>
      <c r="B9" s="93"/>
      <c r="C9" s="94" t="s">
        <v>204</v>
      </c>
      <c r="D9" s="567" t="s">
        <v>658</v>
      </c>
      <c r="E9" s="470"/>
      <c r="F9" s="470"/>
      <c r="G9" s="470"/>
      <c r="H9" s="470"/>
      <c r="I9" s="470"/>
      <c r="J9" s="470"/>
      <c r="K9" s="470"/>
      <c r="L9" s="470"/>
      <c r="M9" s="470"/>
      <c r="N9" s="471"/>
      <c r="O9" s="71"/>
      <c r="P9" s="95" t="str">
        <f t="shared" ref="P9:P12" si="0">IF(O9="","",IF(O9="Yes","Pass",IF(O9="No","Fail","N/A")))</f>
        <v/>
      </c>
      <c r="Q9" s="173"/>
      <c r="R9" s="173"/>
      <c r="S9" s="124"/>
      <c r="T9" s="125"/>
      <c r="U9" s="125"/>
      <c r="V9" s="125"/>
      <c r="W9" s="126"/>
      <c r="X9" s="125"/>
      <c r="Y9" s="127"/>
      <c r="Z9" s="128"/>
      <c r="AA9" s="129"/>
      <c r="AB9" s="130"/>
      <c r="AC9" s="96"/>
      <c r="AD9" s="96"/>
      <c r="AE9" s="96"/>
    </row>
    <row r="10" spans="1:31" ht="87" customHeight="1" x14ac:dyDescent="0.2">
      <c r="A10" s="107">
        <v>1</v>
      </c>
      <c r="B10" s="93"/>
      <c r="C10" s="94" t="s">
        <v>205</v>
      </c>
      <c r="D10" s="567" t="s">
        <v>528</v>
      </c>
      <c r="E10" s="586"/>
      <c r="F10" s="586"/>
      <c r="G10" s="586"/>
      <c r="H10" s="586"/>
      <c r="I10" s="586"/>
      <c r="J10" s="586"/>
      <c r="K10" s="586"/>
      <c r="L10" s="586"/>
      <c r="M10" s="586"/>
      <c r="N10" s="587"/>
      <c r="O10" s="71"/>
      <c r="P10" s="95" t="str">
        <f t="shared" si="0"/>
        <v/>
      </c>
      <c r="Q10" s="173"/>
      <c r="R10" s="173"/>
      <c r="S10" s="124"/>
      <c r="T10" s="124"/>
      <c r="U10" s="124"/>
      <c r="V10" s="125"/>
      <c r="W10" s="131"/>
      <c r="X10" s="124"/>
      <c r="Y10" s="127"/>
      <c r="Z10" s="128"/>
      <c r="AA10" s="129"/>
      <c r="AB10" s="129"/>
    </row>
    <row r="11" spans="1:31" ht="50.25" customHeight="1" x14ac:dyDescent="0.2">
      <c r="A11" s="107" t="s">
        <v>70</v>
      </c>
      <c r="B11" s="93"/>
      <c r="C11" s="94" t="s">
        <v>206</v>
      </c>
      <c r="D11" s="567" t="s">
        <v>529</v>
      </c>
      <c r="E11" s="586"/>
      <c r="F11" s="586"/>
      <c r="G11" s="586"/>
      <c r="H11" s="586"/>
      <c r="I11" s="586"/>
      <c r="J11" s="586"/>
      <c r="K11" s="586"/>
      <c r="L11" s="586"/>
      <c r="M11" s="586"/>
      <c r="N11" s="587"/>
      <c r="O11" s="71"/>
      <c r="P11" s="95" t="str">
        <f t="shared" si="0"/>
        <v/>
      </c>
      <c r="Q11" s="173"/>
      <c r="R11" s="173"/>
      <c r="S11" s="124"/>
      <c r="T11" s="124"/>
      <c r="U11" s="124"/>
      <c r="V11" s="125"/>
      <c r="W11" s="131"/>
      <c r="X11" s="124"/>
      <c r="Y11" s="127"/>
      <c r="Z11" s="128"/>
      <c r="AA11" s="129"/>
      <c r="AB11" s="129"/>
    </row>
    <row r="12" spans="1:31" ht="33.75" customHeight="1" x14ac:dyDescent="0.2">
      <c r="A12" s="106">
        <v>1</v>
      </c>
      <c r="C12" s="94" t="s">
        <v>207</v>
      </c>
      <c r="D12" s="567" t="s">
        <v>659</v>
      </c>
      <c r="E12" s="586"/>
      <c r="F12" s="586"/>
      <c r="G12" s="586"/>
      <c r="H12" s="586"/>
      <c r="I12" s="586"/>
      <c r="J12" s="586"/>
      <c r="K12" s="586"/>
      <c r="L12" s="586"/>
      <c r="M12" s="586"/>
      <c r="N12" s="587"/>
      <c r="O12" s="71"/>
      <c r="P12" s="95" t="str">
        <f t="shared" si="0"/>
        <v/>
      </c>
      <c r="Q12" s="173"/>
      <c r="R12" s="173"/>
      <c r="S12" s="124"/>
      <c r="T12" s="124"/>
      <c r="U12" s="124"/>
      <c r="V12" s="125"/>
      <c r="W12" s="131"/>
      <c r="X12" s="124"/>
      <c r="Y12" s="127"/>
      <c r="Z12" s="128"/>
      <c r="AA12" s="129"/>
      <c r="AB12" s="129"/>
    </row>
    <row r="13" spans="1:31" ht="36" customHeight="1" x14ac:dyDescent="0.2">
      <c r="A13" s="107">
        <v>1</v>
      </c>
      <c r="B13" s="93"/>
      <c r="C13" s="97" t="s">
        <v>208</v>
      </c>
      <c r="D13" s="567" t="s">
        <v>656</v>
      </c>
      <c r="E13" s="470"/>
      <c r="F13" s="470"/>
      <c r="G13" s="470"/>
      <c r="H13" s="470"/>
      <c r="I13" s="470"/>
      <c r="J13" s="470"/>
      <c r="K13" s="470"/>
      <c r="L13" s="470"/>
      <c r="M13" s="470"/>
      <c r="N13" s="471"/>
      <c r="O13" s="71"/>
      <c r="P13" s="95" t="str">
        <f t="shared" ref="P13:P19" si="1">IF(O13="","",IF(O13="Yes","Pass",IF(O13="No","Fail","N/A")))</f>
        <v/>
      </c>
      <c r="Q13" s="173"/>
      <c r="R13" s="173"/>
      <c r="S13" s="124"/>
      <c r="T13" s="124"/>
      <c r="U13" s="124"/>
      <c r="V13" s="125"/>
      <c r="W13" s="131"/>
      <c r="X13" s="124"/>
      <c r="Y13" s="127"/>
      <c r="Z13" s="128"/>
      <c r="AA13" s="129"/>
      <c r="AB13" s="129"/>
    </row>
    <row r="14" spans="1:31" ht="46.5" customHeight="1" x14ac:dyDescent="0.2">
      <c r="A14" s="107" t="s">
        <v>70</v>
      </c>
      <c r="B14" s="93"/>
      <c r="C14" s="97" t="s">
        <v>209</v>
      </c>
      <c r="D14" s="567" t="s">
        <v>530</v>
      </c>
      <c r="E14" s="586"/>
      <c r="F14" s="586"/>
      <c r="G14" s="586"/>
      <c r="H14" s="586"/>
      <c r="I14" s="586"/>
      <c r="J14" s="586"/>
      <c r="K14" s="586"/>
      <c r="L14" s="586"/>
      <c r="M14" s="586"/>
      <c r="N14" s="587"/>
      <c r="O14" s="71"/>
      <c r="P14" s="95" t="str">
        <f t="shared" si="1"/>
        <v/>
      </c>
      <c r="Q14" s="173"/>
      <c r="R14" s="173"/>
      <c r="S14" s="124"/>
      <c r="T14" s="124"/>
      <c r="U14" s="124"/>
      <c r="V14" s="125"/>
      <c r="W14" s="131"/>
      <c r="X14" s="124"/>
      <c r="Y14" s="127"/>
      <c r="Z14" s="128"/>
      <c r="AA14" s="129"/>
      <c r="AB14" s="129"/>
    </row>
    <row r="15" spans="1:31" ht="49.5" customHeight="1" x14ac:dyDescent="0.2">
      <c r="A15" s="107">
        <v>1</v>
      </c>
      <c r="B15" s="93"/>
      <c r="C15" s="94" t="s">
        <v>210</v>
      </c>
      <c r="D15" s="567" t="s">
        <v>531</v>
      </c>
      <c r="E15" s="586"/>
      <c r="F15" s="586"/>
      <c r="G15" s="586"/>
      <c r="H15" s="586"/>
      <c r="I15" s="586"/>
      <c r="J15" s="586"/>
      <c r="K15" s="586"/>
      <c r="L15" s="586"/>
      <c r="M15" s="586"/>
      <c r="N15" s="587"/>
      <c r="O15" s="71"/>
      <c r="P15" s="95" t="str">
        <f t="shared" si="1"/>
        <v/>
      </c>
      <c r="Q15" s="173"/>
      <c r="R15" s="173"/>
      <c r="S15" s="124"/>
      <c r="T15" s="124"/>
      <c r="U15" s="124"/>
      <c r="V15" s="125"/>
      <c r="W15" s="131"/>
      <c r="X15" s="124"/>
      <c r="Y15" s="127"/>
      <c r="Z15" s="128"/>
      <c r="AA15" s="129"/>
      <c r="AB15" s="129"/>
    </row>
    <row r="16" spans="1:31" ht="66.75" customHeight="1" x14ac:dyDescent="0.2">
      <c r="A16" s="106">
        <v>1</v>
      </c>
      <c r="C16" s="97" t="s">
        <v>211</v>
      </c>
      <c r="D16" s="567" t="s">
        <v>532</v>
      </c>
      <c r="E16" s="586"/>
      <c r="F16" s="586"/>
      <c r="G16" s="586"/>
      <c r="H16" s="586"/>
      <c r="I16" s="586"/>
      <c r="J16" s="586"/>
      <c r="K16" s="586"/>
      <c r="L16" s="586"/>
      <c r="M16" s="586"/>
      <c r="N16" s="587"/>
      <c r="O16" s="71"/>
      <c r="P16" s="95" t="str">
        <f t="shared" si="1"/>
        <v/>
      </c>
      <c r="Q16" s="173"/>
      <c r="R16" s="173"/>
      <c r="S16" s="124"/>
      <c r="T16" s="124"/>
      <c r="U16" s="124"/>
      <c r="V16" s="125"/>
      <c r="W16" s="131"/>
      <c r="X16" s="124"/>
      <c r="Y16" s="127"/>
      <c r="Z16" s="128"/>
      <c r="AA16" s="129"/>
      <c r="AB16" s="129"/>
    </row>
    <row r="17" spans="1:28" ht="39" customHeight="1" x14ac:dyDescent="0.2">
      <c r="A17" s="107" t="s">
        <v>70</v>
      </c>
      <c r="B17" s="93"/>
      <c r="C17" s="97" t="s">
        <v>212</v>
      </c>
      <c r="D17" s="567" t="s">
        <v>533</v>
      </c>
      <c r="E17" s="586"/>
      <c r="F17" s="586"/>
      <c r="G17" s="586"/>
      <c r="H17" s="586"/>
      <c r="I17" s="586"/>
      <c r="J17" s="586"/>
      <c r="K17" s="586"/>
      <c r="L17" s="586"/>
      <c r="M17" s="586"/>
      <c r="N17" s="587"/>
      <c r="O17" s="71"/>
      <c r="P17" s="95" t="str">
        <f t="shared" si="1"/>
        <v/>
      </c>
      <c r="Q17" s="173"/>
      <c r="R17" s="173"/>
      <c r="S17" s="124"/>
      <c r="T17" s="124"/>
      <c r="U17" s="124"/>
      <c r="V17" s="125"/>
      <c r="W17" s="131"/>
      <c r="X17" s="124"/>
      <c r="Y17" s="127"/>
      <c r="Z17" s="128"/>
      <c r="AA17" s="129"/>
      <c r="AB17" s="129"/>
    </row>
    <row r="18" spans="1:28" ht="83.25" customHeight="1" x14ac:dyDescent="0.2">
      <c r="A18" s="107" t="s">
        <v>70</v>
      </c>
      <c r="B18" s="93"/>
      <c r="C18" s="94" t="s">
        <v>657</v>
      </c>
      <c r="D18" s="567" t="s">
        <v>534</v>
      </c>
      <c r="E18" s="586"/>
      <c r="F18" s="586"/>
      <c r="G18" s="586"/>
      <c r="H18" s="586"/>
      <c r="I18" s="586"/>
      <c r="J18" s="586"/>
      <c r="K18" s="586"/>
      <c r="L18" s="586"/>
      <c r="M18" s="586"/>
      <c r="N18" s="587"/>
      <c r="O18" s="71"/>
      <c r="P18" s="95" t="str">
        <f t="shared" si="1"/>
        <v/>
      </c>
      <c r="Q18" s="173"/>
      <c r="R18" s="173"/>
      <c r="S18" s="124"/>
      <c r="T18" s="124"/>
      <c r="U18" s="124"/>
      <c r="V18" s="125"/>
      <c r="W18" s="131"/>
      <c r="X18" s="124"/>
      <c r="Y18" s="127"/>
      <c r="Z18" s="128"/>
      <c r="AA18" s="129"/>
      <c r="AB18" s="129"/>
    </row>
    <row r="19" spans="1:28" ht="47.25" customHeight="1" x14ac:dyDescent="0.2">
      <c r="A19" s="107" t="s">
        <v>81</v>
      </c>
      <c r="B19" s="93"/>
      <c r="C19" s="391" t="s">
        <v>213</v>
      </c>
      <c r="D19" s="571" t="s">
        <v>535</v>
      </c>
      <c r="E19" s="572"/>
      <c r="F19" s="572"/>
      <c r="G19" s="572"/>
      <c r="H19" s="572"/>
      <c r="I19" s="572"/>
      <c r="J19" s="572"/>
      <c r="K19" s="572"/>
      <c r="L19" s="572"/>
      <c r="M19" s="572"/>
      <c r="N19" s="572"/>
      <c r="O19" s="71"/>
      <c r="P19" s="95" t="str">
        <f t="shared" si="1"/>
        <v/>
      </c>
      <c r="Q19" s="173"/>
      <c r="R19" s="173"/>
      <c r="S19" s="124"/>
      <c r="T19" s="124"/>
      <c r="U19" s="124"/>
      <c r="V19" s="125"/>
      <c r="W19" s="131"/>
      <c r="X19" s="124"/>
      <c r="Y19" s="127"/>
      <c r="Z19" s="128"/>
      <c r="AA19" s="129"/>
      <c r="AB19" s="129"/>
    </row>
    <row r="20" spans="1:28" ht="22.5" customHeight="1" x14ac:dyDescent="0.2">
      <c r="A20" s="106">
        <v>1</v>
      </c>
      <c r="B20" s="93"/>
      <c r="C20" s="575" t="s">
        <v>267</v>
      </c>
      <c r="D20" s="470"/>
      <c r="E20" s="470"/>
      <c r="F20" s="470"/>
      <c r="G20" s="470"/>
      <c r="H20" s="470"/>
      <c r="I20" s="470"/>
      <c r="J20" s="470"/>
      <c r="K20" s="470"/>
      <c r="L20" s="470"/>
      <c r="M20" s="470"/>
      <c r="N20" s="470"/>
      <c r="O20"/>
      <c r="P20" s="392"/>
      <c r="Q20" s="174"/>
      <c r="R20" s="174"/>
      <c r="S20" s="124"/>
      <c r="T20" s="124"/>
      <c r="U20" s="124"/>
      <c r="V20" s="125"/>
      <c r="W20" s="131"/>
      <c r="X20" s="124"/>
      <c r="Y20" s="127"/>
      <c r="Z20" s="128"/>
      <c r="AA20" s="129"/>
      <c r="AB20" s="129"/>
    </row>
    <row r="21" spans="1:28" ht="30.75" customHeight="1" x14ac:dyDescent="0.2">
      <c r="A21" s="107" t="s">
        <v>73</v>
      </c>
      <c r="C21" s="581" t="s">
        <v>17</v>
      </c>
      <c r="D21" s="470"/>
      <c r="E21" s="470"/>
      <c r="F21" s="470"/>
      <c r="G21" s="470"/>
      <c r="H21" s="470"/>
      <c r="I21" s="470"/>
      <c r="J21" s="470"/>
      <c r="K21" s="470"/>
      <c r="L21" s="470"/>
      <c r="M21" s="470"/>
      <c r="N21" s="471"/>
      <c r="O21" s="345"/>
      <c r="P21" s="343"/>
      <c r="Q21" s="172"/>
      <c r="R21" s="172"/>
      <c r="S21" s="124"/>
      <c r="T21" s="124"/>
      <c r="U21" s="124"/>
      <c r="V21" s="125"/>
      <c r="W21" s="131"/>
      <c r="X21" s="124"/>
      <c r="Y21" s="132"/>
      <c r="Z21" s="128"/>
      <c r="AA21" s="129"/>
      <c r="AB21" s="129"/>
    </row>
    <row r="22" spans="1:28" ht="18" customHeight="1" x14ac:dyDescent="0.25">
      <c r="C22" s="100" t="s">
        <v>264</v>
      </c>
      <c r="D22" s="573" t="s">
        <v>71</v>
      </c>
      <c r="E22" s="574"/>
      <c r="F22" s="574"/>
      <c r="G22" s="574"/>
      <c r="H22" s="574"/>
      <c r="I22" s="574"/>
      <c r="J22" s="574"/>
      <c r="K22" s="574"/>
      <c r="L22" s="574"/>
      <c r="M22" s="574"/>
      <c r="N22" s="440"/>
      <c r="O22" s="101" t="s">
        <v>265</v>
      </c>
      <c r="P22" s="101" t="s">
        <v>266</v>
      </c>
      <c r="Q22" s="359"/>
      <c r="R22" s="175"/>
      <c r="S22" s="124"/>
      <c r="T22" s="124"/>
      <c r="U22" s="124"/>
      <c r="V22" s="125"/>
      <c r="W22" s="131"/>
      <c r="X22" s="124"/>
      <c r="Y22" s="127"/>
      <c r="Z22" s="128"/>
      <c r="AA22" s="129"/>
      <c r="AB22" s="129"/>
    </row>
    <row r="23" spans="1:28" ht="18" customHeight="1" x14ac:dyDescent="0.2">
      <c r="A23" s="106">
        <v>1</v>
      </c>
      <c r="C23" s="102" t="s">
        <v>215</v>
      </c>
      <c r="D23" s="567" t="s">
        <v>268</v>
      </c>
      <c r="E23" s="470"/>
      <c r="F23" s="470"/>
      <c r="G23" s="470"/>
      <c r="H23" s="470"/>
      <c r="I23" s="470"/>
      <c r="J23" s="470"/>
      <c r="K23" s="470"/>
      <c r="L23" s="470"/>
      <c r="M23" s="470"/>
      <c r="N23" s="471"/>
      <c r="O23" s="71"/>
      <c r="P23" s="95" t="str">
        <f>IF(O23="","",IF(O23="Yes","Pass",IF(O23="No","Fail","N/A")))</f>
        <v/>
      </c>
      <c r="Q23" s="173"/>
      <c r="R23" s="173"/>
      <c r="S23" s="124"/>
      <c r="T23" s="124"/>
      <c r="U23" s="124"/>
      <c r="V23" s="125"/>
      <c r="W23" s="131"/>
      <c r="X23" s="124"/>
      <c r="Y23" s="127"/>
      <c r="Z23" s="128"/>
      <c r="AA23" s="129"/>
      <c r="AB23" s="129"/>
    </row>
    <row r="24" spans="1:28" ht="45" customHeight="1" x14ac:dyDescent="0.2">
      <c r="A24" s="107" t="s">
        <v>69</v>
      </c>
      <c r="C24" s="97" t="s">
        <v>216</v>
      </c>
      <c r="D24" s="567" t="s">
        <v>269</v>
      </c>
      <c r="E24" s="470"/>
      <c r="F24" s="470"/>
      <c r="G24" s="470"/>
      <c r="H24" s="470"/>
      <c r="I24" s="470"/>
      <c r="J24" s="470"/>
      <c r="K24" s="470"/>
      <c r="L24" s="470"/>
      <c r="M24" s="470"/>
      <c r="N24" s="471"/>
      <c r="O24" s="71"/>
      <c r="P24" s="95" t="str">
        <f>IF(O24="","",IF(O24="Yes","Pass",IF(O24="No","Fail","N/A")))</f>
        <v/>
      </c>
      <c r="Q24" s="173"/>
      <c r="R24" s="173"/>
      <c r="S24" s="124"/>
      <c r="T24" s="124"/>
      <c r="U24" s="124"/>
      <c r="V24" s="125"/>
      <c r="W24" s="131"/>
      <c r="X24" s="124"/>
      <c r="Y24" s="127"/>
      <c r="Z24" s="128"/>
      <c r="AA24" s="129"/>
      <c r="AB24" s="129"/>
    </row>
    <row r="25" spans="1:28" ht="45" customHeight="1" x14ac:dyDescent="0.2">
      <c r="A25" s="107" t="s">
        <v>69</v>
      </c>
      <c r="B25" s="93"/>
      <c r="C25" s="97" t="s">
        <v>217</v>
      </c>
      <c r="D25" s="567" t="s">
        <v>270</v>
      </c>
      <c r="E25" s="470"/>
      <c r="F25" s="470"/>
      <c r="G25" s="470"/>
      <c r="H25" s="470"/>
      <c r="I25" s="470"/>
      <c r="J25" s="470"/>
      <c r="K25" s="470"/>
      <c r="L25" s="470"/>
      <c r="M25" s="470"/>
      <c r="N25" s="471"/>
      <c r="O25" s="71"/>
      <c r="P25" s="95" t="str">
        <f>IF(O25="","",IF(O25="Yes","Pass",IF(O25="No","Fail","N/A")))</f>
        <v/>
      </c>
      <c r="Q25" s="173"/>
      <c r="R25" s="173"/>
      <c r="S25" s="124"/>
      <c r="T25" s="124"/>
      <c r="U25" s="124"/>
      <c r="V25" s="125"/>
      <c r="W25" s="131"/>
      <c r="X25" s="124"/>
      <c r="Y25" s="127"/>
      <c r="Z25" s="128"/>
      <c r="AA25" s="129"/>
      <c r="AB25" s="129"/>
    </row>
    <row r="26" spans="1:28" ht="51.75" customHeight="1" x14ac:dyDescent="0.2">
      <c r="A26" s="107" t="s">
        <v>69</v>
      </c>
      <c r="B26" s="93"/>
      <c r="C26" s="97" t="s">
        <v>218</v>
      </c>
      <c r="D26" s="567" t="s">
        <v>271</v>
      </c>
      <c r="E26" s="470"/>
      <c r="F26" s="470"/>
      <c r="G26" s="470"/>
      <c r="H26" s="470"/>
      <c r="I26" s="470"/>
      <c r="J26" s="470"/>
      <c r="K26" s="470"/>
      <c r="L26" s="470"/>
      <c r="M26" s="470"/>
      <c r="N26" s="470"/>
      <c r="O26" s="71"/>
      <c r="P26" s="95" t="str">
        <f>IF(O26="","",IF(O26="Yes","Pass",IF(O26="No","Fail","N/A")))</f>
        <v/>
      </c>
      <c r="Q26" s="173"/>
      <c r="R26" s="173"/>
      <c r="S26" s="124"/>
      <c r="T26" s="124"/>
      <c r="U26" s="124"/>
      <c r="V26" s="125"/>
      <c r="W26" s="131"/>
      <c r="X26" s="124"/>
      <c r="Y26" s="127"/>
      <c r="Z26" s="128"/>
      <c r="AA26" s="129"/>
      <c r="AB26" s="129"/>
    </row>
    <row r="27" spans="1:28" ht="22.5" customHeight="1" x14ac:dyDescent="0.2">
      <c r="A27" s="106">
        <v>1</v>
      </c>
      <c r="B27" s="93"/>
      <c r="C27" s="580" t="s">
        <v>272</v>
      </c>
      <c r="D27" s="470"/>
      <c r="E27" s="470"/>
      <c r="F27" s="470"/>
      <c r="G27" s="470"/>
      <c r="H27" s="470"/>
      <c r="I27" s="470"/>
      <c r="J27" s="470"/>
      <c r="K27" s="470"/>
      <c r="L27" s="470"/>
      <c r="M27" s="470"/>
      <c r="N27" s="470"/>
      <c r="O27" s="341"/>
      <c r="Q27" s="123"/>
      <c r="R27" s="123"/>
      <c r="S27" s="124"/>
      <c r="T27" s="124"/>
      <c r="U27" s="124"/>
      <c r="V27" s="125"/>
      <c r="W27" s="131"/>
      <c r="X27" s="124"/>
      <c r="Y27" s="127"/>
      <c r="Z27" s="128"/>
      <c r="AA27" s="129"/>
      <c r="AB27" s="129"/>
    </row>
    <row r="28" spans="1:28" ht="29.25" customHeight="1" x14ac:dyDescent="0.2">
      <c r="A28" s="107" t="s">
        <v>73</v>
      </c>
      <c r="C28" s="581" t="s">
        <v>17</v>
      </c>
      <c r="D28" s="470"/>
      <c r="E28" s="470"/>
      <c r="F28" s="470"/>
      <c r="G28" s="470"/>
      <c r="H28" s="470"/>
      <c r="I28" s="470"/>
      <c r="J28" s="470"/>
      <c r="K28" s="470"/>
      <c r="L28" s="470"/>
      <c r="M28" s="470"/>
      <c r="N28" s="470"/>
      <c r="O28" s="345"/>
      <c r="P28" s="340"/>
      <c r="Q28" s="123"/>
      <c r="R28" s="123"/>
      <c r="S28" s="124"/>
      <c r="T28" s="124"/>
      <c r="U28" s="124"/>
      <c r="V28" s="125"/>
      <c r="W28" s="131"/>
      <c r="X28" s="133"/>
      <c r="Y28" s="132"/>
      <c r="Z28" s="128"/>
      <c r="AA28" s="129"/>
      <c r="AB28" s="129"/>
    </row>
    <row r="29" spans="1:28" ht="24" customHeight="1" x14ac:dyDescent="0.25">
      <c r="C29" s="100" t="s">
        <v>264</v>
      </c>
      <c r="D29" s="573" t="s">
        <v>465</v>
      </c>
      <c r="E29" s="574"/>
      <c r="F29" s="574"/>
      <c r="G29" s="574"/>
      <c r="H29" s="574"/>
      <c r="I29" s="574"/>
      <c r="J29" s="574"/>
      <c r="K29" s="574"/>
      <c r="L29" s="574"/>
      <c r="M29" s="574"/>
      <c r="N29" s="574"/>
      <c r="O29" s="101" t="s">
        <v>265</v>
      </c>
      <c r="P29" s="101" t="s">
        <v>266</v>
      </c>
      <c r="Q29" s="359"/>
      <c r="R29" s="175"/>
      <c r="S29" s="124"/>
      <c r="T29" s="124"/>
      <c r="U29" s="124"/>
      <c r="V29" s="125"/>
      <c r="W29" s="131"/>
      <c r="X29" s="133"/>
      <c r="Y29" s="132"/>
      <c r="Z29" s="128"/>
      <c r="AA29" s="129"/>
      <c r="AB29" s="129"/>
    </row>
    <row r="30" spans="1:28" ht="66" customHeight="1" x14ac:dyDescent="0.2">
      <c r="A30" s="107" t="s">
        <v>69</v>
      </c>
      <c r="C30" s="102" t="s">
        <v>466</v>
      </c>
      <c r="D30" s="567" t="s">
        <v>467</v>
      </c>
      <c r="E30" s="572"/>
      <c r="F30" s="572"/>
      <c r="G30" s="572"/>
      <c r="H30" s="572"/>
      <c r="I30" s="572"/>
      <c r="J30" s="572"/>
      <c r="K30" s="572"/>
      <c r="L30" s="572"/>
      <c r="M30" s="572"/>
      <c r="N30" s="572"/>
      <c r="O30" s="71"/>
      <c r="P30" s="95" t="str">
        <f t="shared" ref="P30:P31" si="2">IF(O30="","",IF(O30="Yes","Pass",IF(O30="No","Fail","N/A")))</f>
        <v/>
      </c>
      <c r="Q30" s="173"/>
      <c r="R30" s="173"/>
      <c r="S30" s="124"/>
      <c r="T30" s="124"/>
      <c r="U30" s="124"/>
      <c r="V30" s="125"/>
      <c r="W30" s="131"/>
      <c r="X30" s="133"/>
      <c r="Y30" s="132"/>
      <c r="Z30" s="128"/>
      <c r="AA30" s="129"/>
      <c r="AB30" s="129"/>
    </row>
    <row r="31" spans="1:28" ht="33.75" customHeight="1" x14ac:dyDescent="0.2">
      <c r="A31" s="107" t="s">
        <v>73</v>
      </c>
      <c r="B31" s="93"/>
      <c r="C31" s="102" t="s">
        <v>471</v>
      </c>
      <c r="D31" s="579" t="s">
        <v>468</v>
      </c>
      <c r="E31" s="572"/>
      <c r="F31" s="572"/>
      <c r="G31" s="572"/>
      <c r="H31" s="572"/>
      <c r="I31" s="572"/>
      <c r="J31" s="572"/>
      <c r="K31" s="572"/>
      <c r="L31" s="572"/>
      <c r="M31" s="572"/>
      <c r="N31" s="572"/>
      <c r="O31" s="71"/>
      <c r="P31" s="95" t="str">
        <f t="shared" si="2"/>
        <v/>
      </c>
      <c r="Q31" s="173"/>
      <c r="R31" s="173"/>
      <c r="S31" s="124"/>
      <c r="T31" s="124"/>
      <c r="U31" s="124"/>
      <c r="V31" s="125"/>
      <c r="W31" s="131"/>
      <c r="X31" s="133"/>
      <c r="Y31" s="132"/>
      <c r="Z31" s="128"/>
      <c r="AA31" s="129"/>
      <c r="AB31" s="129"/>
    </row>
    <row r="32" spans="1:28" ht="45" customHeight="1" x14ac:dyDescent="0.2">
      <c r="A32" s="107" t="s">
        <v>69</v>
      </c>
      <c r="B32" s="93"/>
      <c r="C32" s="102" t="s">
        <v>472</v>
      </c>
      <c r="D32" s="579" t="s">
        <v>469</v>
      </c>
      <c r="E32" s="572"/>
      <c r="F32" s="572"/>
      <c r="G32" s="572"/>
      <c r="H32" s="572"/>
      <c r="I32" s="572"/>
      <c r="J32" s="572"/>
      <c r="K32" s="572"/>
      <c r="L32" s="572"/>
      <c r="M32" s="572"/>
      <c r="N32" s="572"/>
      <c r="O32" s="71"/>
      <c r="P32" s="95" t="str">
        <f>IF(O32="","",IF(O32="Yes","Pass",IF(O32="No","Fail","N/A")))</f>
        <v/>
      </c>
      <c r="Q32" s="173"/>
      <c r="R32" s="173"/>
      <c r="S32" s="124"/>
      <c r="T32" s="124"/>
      <c r="U32" s="124"/>
      <c r="V32" s="125"/>
      <c r="W32" s="131"/>
      <c r="X32" s="133"/>
      <c r="Y32" s="132"/>
      <c r="Z32" s="128"/>
      <c r="AA32" s="129"/>
      <c r="AB32" s="129"/>
    </row>
    <row r="33" spans="1:28" ht="30" customHeight="1" x14ac:dyDescent="0.2">
      <c r="A33" s="107" t="s">
        <v>70</v>
      </c>
      <c r="B33" s="93"/>
      <c r="C33" s="102" t="s">
        <v>473</v>
      </c>
      <c r="D33" s="579" t="s">
        <v>470</v>
      </c>
      <c r="E33" s="572"/>
      <c r="F33" s="572"/>
      <c r="G33" s="572"/>
      <c r="H33" s="572"/>
      <c r="I33" s="572"/>
      <c r="J33" s="572"/>
      <c r="K33" s="572"/>
      <c r="L33" s="572"/>
      <c r="M33" s="572"/>
      <c r="N33" s="572"/>
      <c r="O33" s="71"/>
      <c r="P33" s="95" t="str">
        <f>IF(O33="","",IF(O33="Yes","Pass",IF(O33="No","Fail","N/A")))</f>
        <v/>
      </c>
      <c r="Q33" s="173"/>
      <c r="R33" s="173"/>
      <c r="S33" s="124"/>
      <c r="T33" s="124"/>
      <c r="U33" s="124"/>
      <c r="V33" s="125"/>
      <c r="W33" s="131"/>
      <c r="X33" s="133"/>
      <c r="Y33" s="132"/>
      <c r="Z33" s="128"/>
      <c r="AA33" s="129"/>
      <c r="AB33" s="129"/>
    </row>
    <row r="34" spans="1:28" ht="24" customHeight="1" x14ac:dyDescent="0.2">
      <c r="A34" s="107" t="s">
        <v>69</v>
      </c>
      <c r="B34" s="93"/>
      <c r="C34" s="580" t="s">
        <v>545</v>
      </c>
      <c r="D34" s="470"/>
      <c r="E34" s="470"/>
      <c r="F34" s="470"/>
      <c r="G34" s="470"/>
      <c r="H34" s="470"/>
      <c r="I34" s="470"/>
      <c r="J34" s="470"/>
      <c r="K34" s="470"/>
      <c r="L34" s="470"/>
      <c r="M34" s="470"/>
      <c r="N34" s="470"/>
      <c r="O34" s="341"/>
      <c r="Q34" s="359"/>
      <c r="S34" s="124"/>
      <c r="T34" s="124"/>
      <c r="U34" s="124"/>
      <c r="V34" s="125"/>
      <c r="W34" s="131"/>
      <c r="X34" s="133"/>
      <c r="Y34" s="132"/>
      <c r="Z34" s="128"/>
      <c r="AA34" s="129"/>
      <c r="AB34" s="129"/>
    </row>
    <row r="35" spans="1:28" ht="27.75" customHeight="1" x14ac:dyDescent="0.2">
      <c r="A35" s="107" t="s">
        <v>69</v>
      </c>
      <c r="B35" s="93"/>
      <c r="C35" s="581" t="s">
        <v>17</v>
      </c>
      <c r="D35" s="470"/>
      <c r="E35" s="470"/>
      <c r="F35" s="470"/>
      <c r="G35" s="470"/>
      <c r="H35" s="470"/>
      <c r="I35" s="470"/>
      <c r="J35" s="470"/>
      <c r="K35" s="470"/>
      <c r="L35" s="470"/>
      <c r="M35" s="470"/>
      <c r="N35" s="470"/>
      <c r="O35" s="345"/>
      <c r="Q35" s="173"/>
      <c r="R35"/>
      <c r="U35"/>
      <c r="V35"/>
      <c r="W35"/>
      <c r="X35"/>
      <c r="Y35"/>
      <c r="Z35"/>
      <c r="AA35"/>
      <c r="AB35"/>
    </row>
    <row r="36" spans="1:28" ht="24.75" customHeight="1" x14ac:dyDescent="0.25">
      <c r="A36" s="107" t="s">
        <v>70</v>
      </c>
      <c r="B36" s="93"/>
      <c r="C36" s="100" t="s">
        <v>264</v>
      </c>
      <c r="D36" s="573" t="s">
        <v>72</v>
      </c>
      <c r="E36" s="574"/>
      <c r="F36" s="574"/>
      <c r="G36" s="574"/>
      <c r="H36" s="574"/>
      <c r="I36" s="574"/>
      <c r="J36" s="574"/>
      <c r="K36" s="574"/>
      <c r="L36" s="574"/>
      <c r="M36" s="574"/>
      <c r="N36" s="440"/>
      <c r="O36" s="101" t="s">
        <v>265</v>
      </c>
      <c r="P36" s="101" t="s">
        <v>266</v>
      </c>
      <c r="Q36" s="173"/>
      <c r="R36"/>
      <c r="U36"/>
      <c r="V36"/>
      <c r="W36"/>
      <c r="X36"/>
      <c r="Y36"/>
      <c r="Z36"/>
      <c r="AA36"/>
      <c r="AB36"/>
    </row>
    <row r="37" spans="1:28" ht="31.5" customHeight="1" x14ac:dyDescent="0.2">
      <c r="A37" s="107" t="s">
        <v>73</v>
      </c>
      <c r="B37" s="93"/>
      <c r="C37" s="103" t="s">
        <v>220</v>
      </c>
      <c r="D37" s="445" t="s">
        <v>544</v>
      </c>
      <c r="E37" s="568"/>
      <c r="F37" s="568"/>
      <c r="G37" s="568"/>
      <c r="H37" s="568"/>
      <c r="I37" s="568"/>
      <c r="J37" s="568"/>
      <c r="K37" s="568"/>
      <c r="L37" s="568"/>
      <c r="M37" s="568"/>
      <c r="N37" s="569"/>
      <c r="O37" s="71"/>
      <c r="P37" s="95" t="str">
        <f>IF(O37="","",IF(O37="Yes","Pass",IF(O37="No","Fail","N/A")))</f>
        <v/>
      </c>
      <c r="Q37" s="173"/>
      <c r="R37"/>
      <c r="U37"/>
      <c r="V37"/>
      <c r="W37"/>
      <c r="X37"/>
      <c r="Y37"/>
      <c r="Z37"/>
      <c r="AA37"/>
      <c r="AB37"/>
    </row>
    <row r="38" spans="1:28" ht="30" customHeight="1" x14ac:dyDescent="0.2">
      <c r="A38" s="107" t="s">
        <v>70</v>
      </c>
      <c r="B38" s="93"/>
      <c r="C38" s="185"/>
      <c r="D38" s="296" t="s">
        <v>351</v>
      </c>
      <c r="E38" s="297"/>
      <c r="F38" s="298"/>
      <c r="G38" s="299"/>
      <c r="I38" s="300" t="s">
        <v>352</v>
      </c>
      <c r="J38" s="299"/>
      <c r="K38" s="301" t="s">
        <v>353</v>
      </c>
      <c r="L38" s="191"/>
      <c r="M38" s="302"/>
      <c r="N38" s="303" t="e">
        <f>J38/G38</f>
        <v>#DIV/0!</v>
      </c>
      <c r="Q38" s="173"/>
      <c r="R38"/>
      <c r="U38"/>
      <c r="V38"/>
      <c r="W38"/>
      <c r="X38"/>
      <c r="Y38"/>
      <c r="Z38"/>
      <c r="AA38"/>
      <c r="AB38"/>
    </row>
    <row r="39" spans="1:28" ht="38.25" customHeight="1" x14ac:dyDescent="0.2">
      <c r="A39" s="107" t="s">
        <v>73</v>
      </c>
      <c r="B39" s="93"/>
      <c r="C39" s="97" t="s">
        <v>133</v>
      </c>
      <c r="D39" s="579" t="s">
        <v>645</v>
      </c>
      <c r="E39" s="572"/>
      <c r="F39" s="572"/>
      <c r="G39" s="572"/>
      <c r="H39" s="572"/>
      <c r="I39" s="572"/>
      <c r="J39" s="572"/>
      <c r="K39" s="572"/>
      <c r="L39" s="572"/>
      <c r="M39" s="572"/>
      <c r="N39" s="572"/>
      <c r="O39" s="71"/>
      <c r="P39" s="95" t="str">
        <f t="shared" ref="P39:P49" si="3">IF(O39="","",IF(O39="Yes","Pass",IF(O39="No","Fail","N/A")))</f>
        <v/>
      </c>
      <c r="Q39" s="173"/>
      <c r="R39"/>
      <c r="U39"/>
      <c r="V39"/>
      <c r="W39"/>
      <c r="X39"/>
      <c r="Y39"/>
      <c r="Z39"/>
      <c r="AA39"/>
      <c r="AB39"/>
    </row>
    <row r="40" spans="1:28" ht="30" customHeight="1" x14ac:dyDescent="0.2">
      <c r="A40" s="107" t="s">
        <v>70</v>
      </c>
      <c r="B40" s="93"/>
      <c r="C40" s="97" t="s">
        <v>221</v>
      </c>
      <c r="D40" s="579" t="s">
        <v>536</v>
      </c>
      <c r="E40" s="470"/>
      <c r="F40" s="470"/>
      <c r="G40" s="470"/>
      <c r="H40" s="470"/>
      <c r="I40" s="470"/>
      <c r="J40" s="470"/>
      <c r="K40" s="470"/>
      <c r="L40" s="470"/>
      <c r="M40" s="470"/>
      <c r="N40" s="470"/>
      <c r="O40" s="71"/>
      <c r="P40" s="95" t="str">
        <f t="shared" si="3"/>
        <v/>
      </c>
      <c r="Q40" s="173"/>
      <c r="R40"/>
      <c r="U40"/>
      <c r="V40"/>
      <c r="W40"/>
      <c r="X40"/>
      <c r="Y40"/>
      <c r="Z40"/>
      <c r="AA40"/>
      <c r="AB40"/>
    </row>
    <row r="41" spans="1:28" ht="41.25" customHeight="1" x14ac:dyDescent="0.2">
      <c r="A41" s="107">
        <v>1</v>
      </c>
      <c r="B41" s="93"/>
      <c r="C41" s="103" t="s">
        <v>222</v>
      </c>
      <c r="D41" s="445" t="s">
        <v>537</v>
      </c>
      <c r="E41" s="568"/>
      <c r="F41" s="568"/>
      <c r="G41" s="568"/>
      <c r="H41" s="568"/>
      <c r="I41" s="568"/>
      <c r="J41" s="568"/>
      <c r="K41" s="568"/>
      <c r="L41" s="568"/>
      <c r="M41" s="568"/>
      <c r="N41" s="569"/>
      <c r="O41" s="71"/>
      <c r="P41" s="95" t="str">
        <f t="shared" si="3"/>
        <v/>
      </c>
      <c r="Q41" s="173"/>
      <c r="R41"/>
      <c r="U41"/>
      <c r="V41"/>
      <c r="W41"/>
      <c r="X41"/>
      <c r="Y41"/>
      <c r="Z41"/>
      <c r="AA41"/>
      <c r="AB41"/>
    </row>
    <row r="42" spans="1:28" ht="34.5" customHeight="1" x14ac:dyDescent="0.2">
      <c r="A42" s="107"/>
      <c r="B42" s="93"/>
      <c r="C42" s="97" t="s">
        <v>223</v>
      </c>
      <c r="D42" s="445" t="s">
        <v>538</v>
      </c>
      <c r="E42" s="568"/>
      <c r="F42" s="568"/>
      <c r="G42" s="568"/>
      <c r="H42" s="568"/>
      <c r="I42" s="568"/>
      <c r="J42" s="568"/>
      <c r="K42" s="568"/>
      <c r="L42" s="568"/>
      <c r="M42" s="568"/>
      <c r="N42" s="569"/>
      <c r="O42" s="71"/>
      <c r="P42" s="95" t="str">
        <f t="shared" si="3"/>
        <v/>
      </c>
      <c r="Q42" s="173"/>
      <c r="R42"/>
      <c r="U42"/>
      <c r="V42"/>
      <c r="W42"/>
      <c r="X42"/>
      <c r="Y42"/>
      <c r="Z42"/>
      <c r="AA42"/>
      <c r="AB42"/>
    </row>
    <row r="43" spans="1:28" ht="33" customHeight="1" x14ac:dyDescent="0.2">
      <c r="A43" s="106">
        <v>1</v>
      </c>
      <c r="B43" s="93"/>
      <c r="C43" s="97" t="s">
        <v>224</v>
      </c>
      <c r="D43" s="445" t="s">
        <v>273</v>
      </c>
      <c r="E43" s="568"/>
      <c r="F43" s="568"/>
      <c r="G43" s="568"/>
      <c r="H43" s="568"/>
      <c r="I43" s="568"/>
      <c r="J43" s="568"/>
      <c r="K43" s="568"/>
      <c r="L43" s="568"/>
      <c r="M43" s="568"/>
      <c r="N43" s="569"/>
      <c r="O43" s="71"/>
      <c r="P43" s="95" t="str">
        <f t="shared" si="3"/>
        <v/>
      </c>
      <c r="Q43" s="173"/>
      <c r="R43"/>
      <c r="U43"/>
      <c r="V43"/>
      <c r="W43"/>
      <c r="X43"/>
      <c r="Y43"/>
      <c r="Z43"/>
      <c r="AA43"/>
      <c r="AB43"/>
    </row>
    <row r="44" spans="1:28" ht="35.25" customHeight="1" x14ac:dyDescent="0.2">
      <c r="A44" s="107" t="s">
        <v>73</v>
      </c>
      <c r="C44" s="103" t="s">
        <v>225</v>
      </c>
      <c r="D44" s="567" t="s">
        <v>274</v>
      </c>
      <c r="E44" s="470"/>
      <c r="F44" s="470"/>
      <c r="G44" s="470"/>
      <c r="H44" s="470"/>
      <c r="I44" s="470"/>
      <c r="J44" s="470"/>
      <c r="K44" s="470"/>
      <c r="L44" s="470"/>
      <c r="M44" s="470"/>
      <c r="N44" s="470"/>
      <c r="O44" s="71"/>
      <c r="P44" s="95" t="str">
        <f t="shared" si="3"/>
        <v/>
      </c>
      <c r="Q44" s="173"/>
      <c r="R44"/>
      <c r="U44"/>
      <c r="V44"/>
      <c r="W44"/>
      <c r="X44"/>
      <c r="Y44"/>
      <c r="Z44"/>
      <c r="AA44"/>
      <c r="AB44"/>
    </row>
    <row r="45" spans="1:28" ht="35.25" customHeight="1" x14ac:dyDescent="0.2">
      <c r="B45" s="93"/>
      <c r="C45" s="97" t="s">
        <v>226</v>
      </c>
      <c r="D45" s="445" t="s">
        <v>275</v>
      </c>
      <c r="E45" s="568"/>
      <c r="F45" s="568"/>
      <c r="G45" s="568"/>
      <c r="H45" s="568"/>
      <c r="I45" s="568"/>
      <c r="J45" s="568"/>
      <c r="K45" s="568"/>
      <c r="L45" s="568"/>
      <c r="M45" s="568"/>
      <c r="N45" s="569"/>
      <c r="O45" s="71"/>
      <c r="P45" s="95" t="str">
        <f t="shared" si="3"/>
        <v/>
      </c>
      <c r="Q45" s="173"/>
      <c r="R45"/>
      <c r="U45"/>
      <c r="V45"/>
      <c r="W45"/>
      <c r="X45"/>
      <c r="Y45"/>
      <c r="Z45"/>
      <c r="AA45"/>
      <c r="AB45"/>
    </row>
    <row r="46" spans="1:28" ht="18" customHeight="1" x14ac:dyDescent="0.2">
      <c r="C46" s="97" t="s">
        <v>227</v>
      </c>
      <c r="D46" s="445" t="s">
        <v>276</v>
      </c>
      <c r="E46" s="570"/>
      <c r="F46" s="570"/>
      <c r="G46" s="570"/>
      <c r="H46" s="570"/>
      <c r="I46" s="570"/>
      <c r="J46" s="570"/>
      <c r="K46" s="570"/>
      <c r="L46" s="570"/>
      <c r="M46" s="570"/>
      <c r="N46" s="570"/>
      <c r="O46" s="71"/>
      <c r="P46" s="95" t="str">
        <f t="shared" si="3"/>
        <v/>
      </c>
      <c r="Q46" s="173"/>
      <c r="R46"/>
      <c r="U46"/>
      <c r="V46"/>
      <c r="W46"/>
      <c r="X46"/>
      <c r="Y46"/>
      <c r="Z46"/>
      <c r="AA46"/>
      <c r="AB46"/>
    </row>
    <row r="47" spans="1:28" ht="35.25" customHeight="1" x14ac:dyDescent="0.2">
      <c r="A47" s="106">
        <v>1</v>
      </c>
      <c r="C47" s="103" t="s">
        <v>228</v>
      </c>
      <c r="D47" s="445" t="s">
        <v>277</v>
      </c>
      <c r="E47" s="568"/>
      <c r="F47" s="568"/>
      <c r="G47" s="568"/>
      <c r="H47" s="568"/>
      <c r="I47" s="568"/>
      <c r="J47" s="568"/>
      <c r="K47" s="568"/>
      <c r="L47" s="568"/>
      <c r="M47" s="568"/>
      <c r="N47" s="569"/>
      <c r="O47" s="71"/>
      <c r="P47" s="95" t="str">
        <f t="shared" si="3"/>
        <v/>
      </c>
      <c r="R47"/>
      <c r="U47"/>
      <c r="V47"/>
      <c r="W47"/>
      <c r="X47"/>
      <c r="Y47"/>
      <c r="Z47"/>
      <c r="AA47"/>
      <c r="AB47"/>
    </row>
    <row r="48" spans="1:28" ht="57.75" customHeight="1" x14ac:dyDescent="0.2">
      <c r="A48" s="107" t="s">
        <v>69</v>
      </c>
      <c r="C48" s="97" t="s">
        <v>229</v>
      </c>
      <c r="D48" s="565" t="s">
        <v>539</v>
      </c>
      <c r="E48" s="566"/>
      <c r="F48" s="566"/>
      <c r="G48" s="566"/>
      <c r="H48" s="566"/>
      <c r="I48" s="566"/>
      <c r="J48" s="566"/>
      <c r="K48" s="566"/>
      <c r="L48" s="566"/>
      <c r="M48" s="566"/>
      <c r="N48" s="566"/>
      <c r="O48" s="71"/>
      <c r="P48" s="95" t="str">
        <f t="shared" si="3"/>
        <v/>
      </c>
      <c r="Q48" s="171"/>
      <c r="R48"/>
      <c r="U48"/>
      <c r="V48"/>
      <c r="W48"/>
      <c r="X48"/>
      <c r="Y48"/>
      <c r="Z48"/>
      <c r="AA48"/>
      <c r="AB48"/>
    </row>
    <row r="49" spans="1:28" ht="39" customHeight="1" x14ac:dyDescent="0.2">
      <c r="A49" s="106">
        <v>1</v>
      </c>
      <c r="B49" s="93"/>
      <c r="C49" s="97" t="s">
        <v>230</v>
      </c>
      <c r="D49" s="567" t="s">
        <v>540</v>
      </c>
      <c r="E49" s="470"/>
      <c r="F49" s="470"/>
      <c r="G49" s="470"/>
      <c r="H49" s="470"/>
      <c r="I49" s="470"/>
      <c r="J49" s="470"/>
      <c r="K49" s="470"/>
      <c r="L49" s="470"/>
      <c r="M49" s="470"/>
      <c r="N49" s="471"/>
      <c r="O49" s="71"/>
      <c r="P49" s="95" t="str">
        <f t="shared" si="3"/>
        <v/>
      </c>
      <c r="Q49" s="123"/>
      <c r="R49"/>
      <c r="U49"/>
      <c r="V49"/>
      <c r="W49"/>
      <c r="X49"/>
      <c r="Y49"/>
      <c r="Z49"/>
      <c r="AA49"/>
      <c r="AB49"/>
    </row>
    <row r="50" spans="1:28" ht="19.5" customHeight="1" x14ac:dyDescent="0.2">
      <c r="A50" s="107" t="s">
        <v>73</v>
      </c>
      <c r="C50" s="580" t="s">
        <v>278</v>
      </c>
      <c r="D50" s="470"/>
      <c r="E50" s="470"/>
      <c r="F50" s="470"/>
      <c r="G50" s="470"/>
      <c r="H50" s="470"/>
      <c r="I50" s="470"/>
      <c r="J50" s="470"/>
      <c r="K50" s="470"/>
      <c r="L50" s="470"/>
      <c r="M50" s="470"/>
      <c r="N50" s="470"/>
      <c r="O50" s="347"/>
      <c r="P50" s="344"/>
      <c r="Q50" s="99"/>
      <c r="R50"/>
      <c r="U50"/>
      <c r="V50"/>
      <c r="W50"/>
      <c r="X50"/>
      <c r="Y50"/>
      <c r="Z50"/>
      <c r="AA50"/>
      <c r="AB50"/>
    </row>
    <row r="51" spans="1:28" ht="25.5" customHeight="1" x14ac:dyDescent="0.2">
      <c r="A51" s="107" t="s">
        <v>69</v>
      </c>
      <c r="B51" s="93"/>
      <c r="C51" s="581" t="s">
        <v>17</v>
      </c>
      <c r="D51" s="470"/>
      <c r="E51" s="470"/>
      <c r="F51" s="470"/>
      <c r="G51" s="470"/>
      <c r="H51" s="470"/>
      <c r="I51" s="470"/>
      <c r="J51" s="470"/>
      <c r="K51" s="470"/>
      <c r="L51" s="470"/>
      <c r="M51" s="470"/>
      <c r="N51" s="470"/>
      <c r="O51" s="345"/>
      <c r="Q51" s="359"/>
      <c r="R51"/>
      <c r="U51"/>
      <c r="V51"/>
      <c r="W51"/>
      <c r="X51"/>
      <c r="Y51"/>
      <c r="Z51"/>
      <c r="AA51"/>
      <c r="AB51"/>
    </row>
    <row r="52" spans="1:28" ht="21.75" customHeight="1" x14ac:dyDescent="0.25">
      <c r="A52" s="106">
        <v>1</v>
      </c>
      <c r="B52" s="93"/>
      <c r="C52" s="100" t="s">
        <v>264</v>
      </c>
      <c r="D52" s="576" t="s">
        <v>74</v>
      </c>
      <c r="E52" s="577"/>
      <c r="F52" s="577"/>
      <c r="G52" s="577"/>
      <c r="H52" s="577"/>
      <c r="I52" s="577"/>
      <c r="J52" s="577"/>
      <c r="K52" s="577"/>
      <c r="L52" s="577"/>
      <c r="M52" s="577"/>
      <c r="N52" s="578"/>
      <c r="O52" s="101" t="s">
        <v>265</v>
      </c>
      <c r="P52" s="101" t="s">
        <v>266</v>
      </c>
      <c r="Q52" s="173"/>
      <c r="R52"/>
      <c r="U52"/>
      <c r="V52"/>
      <c r="W52"/>
      <c r="X52"/>
      <c r="Y52"/>
      <c r="Z52"/>
      <c r="AA52"/>
      <c r="AB52"/>
    </row>
    <row r="53" spans="1:28" ht="34.5" customHeight="1" x14ac:dyDescent="0.2">
      <c r="A53" s="106">
        <v>1</v>
      </c>
      <c r="C53" s="94" t="s">
        <v>232</v>
      </c>
      <c r="D53" s="601" t="s">
        <v>279</v>
      </c>
      <c r="E53" s="595"/>
      <c r="F53" s="595"/>
      <c r="G53" s="595"/>
      <c r="H53" s="595"/>
      <c r="I53" s="595"/>
      <c r="J53" s="595"/>
      <c r="K53" s="595"/>
      <c r="L53" s="595"/>
      <c r="M53" s="595"/>
      <c r="N53" s="595"/>
      <c r="O53" s="71"/>
      <c r="P53" s="95" t="str">
        <f t="shared" ref="P53:P60" si="4">IF(O53="","",IF(O53="Yes","Pass",IF(O53="No","Fail","N/A")))</f>
        <v/>
      </c>
      <c r="Q53" s="173"/>
      <c r="R53"/>
      <c r="U53"/>
      <c r="V53"/>
      <c r="W53"/>
      <c r="X53"/>
      <c r="Y53"/>
      <c r="Z53"/>
      <c r="AA53"/>
      <c r="AB53"/>
    </row>
    <row r="54" spans="1:28" ht="60.75" customHeight="1" x14ac:dyDescent="0.2">
      <c r="A54" s="106">
        <v>1</v>
      </c>
      <c r="C54" s="94" t="s">
        <v>233</v>
      </c>
      <c r="D54" s="601" t="s">
        <v>457</v>
      </c>
      <c r="E54" s="605"/>
      <c r="F54" s="605"/>
      <c r="G54" s="605"/>
      <c r="H54" s="605"/>
      <c r="I54" s="605"/>
      <c r="J54" s="605"/>
      <c r="K54" s="605"/>
      <c r="L54" s="605"/>
      <c r="M54" s="605"/>
      <c r="N54" s="606"/>
      <c r="O54" s="71"/>
      <c r="P54" s="95" t="str">
        <f t="shared" si="4"/>
        <v/>
      </c>
      <c r="Q54" s="173"/>
      <c r="R54"/>
      <c r="U54"/>
      <c r="V54"/>
      <c r="W54"/>
      <c r="X54"/>
      <c r="Y54"/>
      <c r="Z54"/>
      <c r="AA54"/>
      <c r="AB54"/>
    </row>
    <row r="55" spans="1:28" ht="38.25" customHeight="1" x14ac:dyDescent="0.2">
      <c r="A55" s="106">
        <v>1</v>
      </c>
      <c r="B55" s="107" t="s">
        <v>70</v>
      </c>
      <c r="C55" s="94" t="s">
        <v>458</v>
      </c>
      <c r="D55" s="602" t="s">
        <v>454</v>
      </c>
      <c r="E55" s="603"/>
      <c r="F55" s="603"/>
      <c r="G55" s="603"/>
      <c r="H55" s="603"/>
      <c r="I55" s="603"/>
      <c r="J55" s="603"/>
      <c r="K55" s="603"/>
      <c r="L55" s="603"/>
      <c r="M55" s="603"/>
      <c r="N55" s="604"/>
      <c r="O55" s="71"/>
      <c r="P55" s="95" t="str">
        <f t="shared" si="4"/>
        <v/>
      </c>
      <c r="Q55" s="173"/>
      <c r="R55"/>
      <c r="U55"/>
      <c r="V55"/>
      <c r="W55"/>
      <c r="X55"/>
      <c r="Y55"/>
      <c r="Z55"/>
      <c r="AA55"/>
      <c r="AB55"/>
    </row>
    <row r="56" spans="1:28" ht="68.25" customHeight="1" x14ac:dyDescent="0.2">
      <c r="A56" s="107" t="s">
        <v>73</v>
      </c>
      <c r="C56" s="94" t="s">
        <v>234</v>
      </c>
      <c r="D56" s="594" t="s">
        <v>541</v>
      </c>
      <c r="E56" s="595"/>
      <c r="F56" s="595"/>
      <c r="G56" s="595"/>
      <c r="H56" s="595"/>
      <c r="I56" s="595"/>
      <c r="J56" s="595"/>
      <c r="K56" s="595"/>
      <c r="L56" s="595"/>
      <c r="M56" s="595"/>
      <c r="N56" s="596"/>
      <c r="O56" s="71"/>
      <c r="P56" s="95" t="str">
        <f t="shared" si="4"/>
        <v/>
      </c>
      <c r="Q56" s="173"/>
      <c r="R56"/>
      <c r="U56"/>
      <c r="V56"/>
      <c r="W56"/>
      <c r="X56"/>
      <c r="Y56"/>
      <c r="Z56"/>
      <c r="AA56"/>
      <c r="AB56"/>
    </row>
    <row r="57" spans="1:28" ht="31.5" customHeight="1" x14ac:dyDescent="0.2">
      <c r="B57" s="93"/>
      <c r="C57" s="94" t="s">
        <v>235</v>
      </c>
      <c r="D57" s="602" t="s">
        <v>459</v>
      </c>
      <c r="E57" s="603"/>
      <c r="F57" s="603"/>
      <c r="G57" s="603"/>
      <c r="H57" s="603"/>
      <c r="I57" s="603"/>
      <c r="J57" s="603"/>
      <c r="K57" s="603"/>
      <c r="L57" s="603"/>
      <c r="M57" s="603"/>
      <c r="N57" s="604"/>
      <c r="O57" s="71"/>
      <c r="P57" s="95" t="str">
        <f t="shared" si="4"/>
        <v/>
      </c>
      <c r="Q57" s="173"/>
      <c r="R57"/>
      <c r="U57"/>
      <c r="V57"/>
      <c r="W57"/>
      <c r="X57"/>
      <c r="Y57"/>
      <c r="Z57"/>
      <c r="AA57"/>
      <c r="AB57"/>
    </row>
    <row r="58" spans="1:28" ht="40.5" customHeight="1" x14ac:dyDescent="0.2">
      <c r="C58" s="104" t="s">
        <v>460</v>
      </c>
      <c r="D58" s="597" t="s">
        <v>455</v>
      </c>
      <c r="E58" s="595"/>
      <c r="F58" s="595"/>
      <c r="G58" s="595"/>
      <c r="H58" s="595"/>
      <c r="I58" s="595"/>
      <c r="J58" s="595"/>
      <c r="K58" s="595"/>
      <c r="L58" s="595"/>
      <c r="M58" s="595"/>
      <c r="N58" s="596"/>
      <c r="O58" s="71"/>
      <c r="P58" s="95" t="str">
        <f t="shared" si="4"/>
        <v/>
      </c>
      <c r="Q58" s="173"/>
      <c r="R58"/>
      <c r="U58"/>
      <c r="V58"/>
      <c r="W58"/>
      <c r="X58"/>
      <c r="Y58"/>
      <c r="Z58"/>
      <c r="AA58"/>
      <c r="AB58"/>
    </row>
    <row r="59" spans="1:28" ht="30" customHeight="1" x14ac:dyDescent="0.2">
      <c r="A59" s="107" t="s">
        <v>70</v>
      </c>
      <c r="C59" s="104" t="s">
        <v>236</v>
      </c>
      <c r="D59" s="598" t="s">
        <v>456</v>
      </c>
      <c r="E59" s="599"/>
      <c r="F59" s="599"/>
      <c r="G59" s="599"/>
      <c r="H59" s="599"/>
      <c r="I59" s="599"/>
      <c r="J59" s="599"/>
      <c r="K59" s="599"/>
      <c r="L59" s="599"/>
      <c r="M59" s="599"/>
      <c r="N59" s="600"/>
      <c r="O59" s="71"/>
      <c r="P59" s="95" t="str">
        <f t="shared" si="4"/>
        <v/>
      </c>
      <c r="Q59" s="173"/>
      <c r="R59"/>
      <c r="U59"/>
      <c r="V59"/>
      <c r="W59"/>
      <c r="X59"/>
      <c r="Y59"/>
      <c r="Z59"/>
      <c r="AA59"/>
      <c r="AB59"/>
    </row>
    <row r="60" spans="1:28" ht="30" customHeight="1" x14ac:dyDescent="0.2">
      <c r="A60" s="107" t="s">
        <v>70</v>
      </c>
      <c r="B60" s="93"/>
      <c r="C60" s="104" t="s">
        <v>237</v>
      </c>
      <c r="D60" s="598" t="s">
        <v>280</v>
      </c>
      <c r="E60" s="599"/>
      <c r="F60" s="599"/>
      <c r="G60" s="599"/>
      <c r="H60" s="599"/>
      <c r="I60" s="599"/>
      <c r="J60" s="599"/>
      <c r="K60" s="599"/>
      <c r="L60" s="599"/>
      <c r="M60" s="599"/>
      <c r="N60" s="600"/>
      <c r="O60" s="71"/>
      <c r="P60" s="95" t="str">
        <f t="shared" si="4"/>
        <v/>
      </c>
      <c r="Q60" s="171"/>
      <c r="R60"/>
      <c r="U60"/>
      <c r="V60"/>
      <c r="W60"/>
      <c r="X60"/>
      <c r="Y60"/>
      <c r="Z60"/>
      <c r="AA60"/>
      <c r="AB60"/>
    </row>
    <row r="61" spans="1:28" ht="22.5" customHeight="1" x14ac:dyDescent="0.2">
      <c r="A61" s="107" t="s">
        <v>69</v>
      </c>
      <c r="B61" s="107" t="s">
        <v>69</v>
      </c>
      <c r="C61" s="580" t="s">
        <v>281</v>
      </c>
      <c r="D61" s="470"/>
      <c r="E61" s="470"/>
      <c r="F61" s="470"/>
      <c r="G61" s="470"/>
      <c r="H61" s="470"/>
      <c r="I61" s="470"/>
      <c r="J61" s="470"/>
      <c r="K61" s="470"/>
      <c r="L61" s="470"/>
      <c r="M61" s="470"/>
      <c r="N61" s="470"/>
      <c r="O61" s="347"/>
      <c r="P61" s="345"/>
      <c r="Q61" s="172"/>
      <c r="R61"/>
      <c r="U61"/>
      <c r="V61"/>
      <c r="W61"/>
      <c r="X61"/>
      <c r="Y61"/>
      <c r="Z61"/>
      <c r="AA61"/>
      <c r="AB61"/>
    </row>
    <row r="62" spans="1:28" ht="28.5" customHeight="1" x14ac:dyDescent="0.2">
      <c r="A62" s="107"/>
      <c r="B62" s="147"/>
      <c r="C62" s="581" t="s">
        <v>17</v>
      </c>
      <c r="D62" s="470"/>
      <c r="E62" s="470"/>
      <c r="F62" s="470"/>
      <c r="G62" s="470"/>
      <c r="H62" s="470"/>
      <c r="I62" s="470"/>
      <c r="J62" s="470"/>
      <c r="K62" s="470"/>
      <c r="L62" s="470"/>
      <c r="M62" s="470"/>
      <c r="N62" s="470"/>
      <c r="O62" s="345"/>
      <c r="Q62" s="171"/>
      <c r="R62"/>
      <c r="U62"/>
      <c r="V62"/>
      <c r="W62"/>
      <c r="X62"/>
      <c r="Y62"/>
      <c r="Z62"/>
      <c r="AA62"/>
      <c r="AB62"/>
    </row>
    <row r="63" spans="1:28" ht="30" customHeight="1" x14ac:dyDescent="0.25">
      <c r="A63" s="107" t="s">
        <v>70</v>
      </c>
      <c r="B63" s="93"/>
      <c r="C63" s="100" t="s">
        <v>264</v>
      </c>
      <c r="D63" s="573" t="s">
        <v>75</v>
      </c>
      <c r="E63" s="574"/>
      <c r="F63" s="574"/>
      <c r="G63" s="574"/>
      <c r="H63" s="574"/>
      <c r="I63" s="574"/>
      <c r="J63" s="574"/>
      <c r="K63" s="574"/>
      <c r="L63" s="574"/>
      <c r="M63" s="574"/>
      <c r="N63" s="440"/>
      <c r="O63" s="101" t="s">
        <v>265</v>
      </c>
      <c r="P63" s="101" t="s">
        <v>266</v>
      </c>
      <c r="Q63" s="359"/>
      <c r="R63"/>
      <c r="U63"/>
      <c r="V63"/>
      <c r="W63"/>
      <c r="X63"/>
      <c r="Y63"/>
      <c r="Z63"/>
      <c r="AA63"/>
      <c r="AB63"/>
    </row>
    <row r="64" spans="1:28" ht="30" customHeight="1" x14ac:dyDescent="0.2">
      <c r="A64" s="107" t="s">
        <v>70</v>
      </c>
      <c r="B64" s="93"/>
      <c r="C64" s="94" t="s">
        <v>239</v>
      </c>
      <c r="D64" s="567" t="s">
        <v>461</v>
      </c>
      <c r="E64" s="470"/>
      <c r="F64" s="470"/>
      <c r="G64" s="470"/>
      <c r="H64" s="470"/>
      <c r="I64" s="470"/>
      <c r="J64" s="470"/>
      <c r="K64" s="470"/>
      <c r="L64" s="470"/>
      <c r="M64" s="470"/>
      <c r="N64" s="471"/>
      <c r="O64" s="71"/>
      <c r="P64" s="95" t="str">
        <f t="shared" ref="P64:P69" si="5">IF(O64="","",IF(O64="Yes","Pass",IF(O64="No","Fail","N/A")))</f>
        <v/>
      </c>
      <c r="Q64" s="173"/>
      <c r="R64"/>
      <c r="U64"/>
      <c r="V64"/>
      <c r="W64"/>
      <c r="X64"/>
      <c r="Y64"/>
      <c r="Z64"/>
      <c r="AA64"/>
      <c r="AB64"/>
    </row>
    <row r="65" spans="1:28" ht="33.75" customHeight="1" x14ac:dyDescent="0.2">
      <c r="A65" s="107" t="s">
        <v>76</v>
      </c>
      <c r="B65" s="93"/>
      <c r="C65" s="94" t="s">
        <v>240</v>
      </c>
      <c r="D65" s="567" t="s">
        <v>282</v>
      </c>
      <c r="E65" s="470"/>
      <c r="F65" s="470"/>
      <c r="G65" s="470"/>
      <c r="H65" s="470"/>
      <c r="I65" s="470"/>
      <c r="J65" s="470"/>
      <c r="K65" s="470"/>
      <c r="L65" s="470"/>
      <c r="M65" s="470"/>
      <c r="N65" s="471"/>
      <c r="O65" s="71"/>
      <c r="P65" s="95" t="str">
        <f t="shared" si="5"/>
        <v/>
      </c>
      <c r="Q65" s="173"/>
      <c r="R65"/>
      <c r="U65"/>
      <c r="V65"/>
      <c r="W65"/>
      <c r="X65"/>
      <c r="Y65"/>
      <c r="Z65"/>
      <c r="AA65"/>
      <c r="AB65"/>
    </row>
    <row r="66" spans="1:28" ht="49.5" customHeight="1" x14ac:dyDescent="0.2">
      <c r="A66" s="106">
        <v>1</v>
      </c>
      <c r="B66" s="93"/>
      <c r="C66" s="94" t="s">
        <v>241</v>
      </c>
      <c r="D66" s="567" t="s">
        <v>462</v>
      </c>
      <c r="E66" s="470"/>
      <c r="F66" s="470"/>
      <c r="G66" s="470"/>
      <c r="H66" s="470"/>
      <c r="I66" s="470"/>
      <c r="J66" s="470"/>
      <c r="K66" s="470"/>
      <c r="L66" s="470"/>
      <c r="M66" s="470"/>
      <c r="N66" s="471"/>
      <c r="O66" s="71"/>
      <c r="P66" s="95" t="str">
        <f t="shared" si="5"/>
        <v/>
      </c>
      <c r="Q66" s="173"/>
      <c r="R66"/>
      <c r="U66"/>
      <c r="V66"/>
      <c r="W66"/>
      <c r="X66"/>
      <c r="Y66"/>
      <c r="Z66"/>
      <c r="AA66"/>
      <c r="AB66"/>
    </row>
    <row r="67" spans="1:28" ht="35.25" customHeight="1" x14ac:dyDescent="0.2">
      <c r="A67" s="107" t="s">
        <v>73</v>
      </c>
      <c r="C67" s="148" t="s">
        <v>542</v>
      </c>
      <c r="D67" s="593" t="s">
        <v>464</v>
      </c>
      <c r="E67" s="470"/>
      <c r="F67" s="470"/>
      <c r="G67" s="470"/>
      <c r="H67" s="470"/>
      <c r="I67" s="470"/>
      <c r="J67" s="470"/>
      <c r="K67" s="470"/>
      <c r="L67" s="470"/>
      <c r="M67" s="470"/>
      <c r="N67" s="470"/>
      <c r="O67" s="71"/>
      <c r="P67" s="95" t="str">
        <f t="shared" si="5"/>
        <v/>
      </c>
      <c r="Q67" s="173"/>
      <c r="R67"/>
      <c r="U67"/>
      <c r="V67"/>
      <c r="W67"/>
      <c r="X67"/>
      <c r="Y67"/>
      <c r="Z67"/>
      <c r="AA67"/>
      <c r="AB67"/>
    </row>
    <row r="68" spans="1:28" ht="36" customHeight="1" x14ac:dyDescent="0.2">
      <c r="B68" s="93"/>
      <c r="C68" s="94" t="s">
        <v>242</v>
      </c>
      <c r="D68" s="469" t="s">
        <v>546</v>
      </c>
      <c r="E68" s="470"/>
      <c r="F68" s="470"/>
      <c r="G68" s="470"/>
      <c r="H68" s="470"/>
      <c r="I68" s="470"/>
      <c r="J68" s="470"/>
      <c r="K68" s="470"/>
      <c r="L68" s="470"/>
      <c r="M68" s="470"/>
      <c r="N68" s="471"/>
      <c r="O68" s="71"/>
      <c r="P68" s="95" t="str">
        <f t="shared" si="5"/>
        <v/>
      </c>
      <c r="Q68" s="173"/>
      <c r="R68"/>
      <c r="U68"/>
      <c r="V68"/>
      <c r="W68"/>
      <c r="X68"/>
      <c r="Y68"/>
      <c r="Z68"/>
      <c r="AA68"/>
      <c r="AB68"/>
    </row>
    <row r="69" spans="1:28" ht="52.5" customHeight="1" x14ac:dyDescent="0.2">
      <c r="C69" s="94" t="s">
        <v>243</v>
      </c>
      <c r="D69" s="469" t="s">
        <v>547</v>
      </c>
      <c r="E69" s="470"/>
      <c r="F69" s="470"/>
      <c r="G69" s="470"/>
      <c r="H69" s="470"/>
      <c r="I69" s="470"/>
      <c r="J69" s="470"/>
      <c r="K69" s="470"/>
      <c r="L69" s="470"/>
      <c r="M69" s="470"/>
      <c r="N69" s="471"/>
      <c r="O69" s="71"/>
      <c r="P69" s="95" t="str">
        <f t="shared" si="5"/>
        <v/>
      </c>
      <c r="Q69" s="173"/>
      <c r="R69"/>
      <c r="U69"/>
      <c r="V69"/>
      <c r="W69"/>
      <c r="X69"/>
      <c r="Y69"/>
      <c r="Z69"/>
      <c r="AA69"/>
      <c r="AB69"/>
    </row>
    <row r="70" spans="1:28" ht="21" customHeight="1" x14ac:dyDescent="0.25">
      <c r="A70" s="107" t="s">
        <v>70</v>
      </c>
      <c r="C70" s="608" t="s">
        <v>283</v>
      </c>
      <c r="D70" s="486"/>
      <c r="E70" s="486"/>
      <c r="F70" s="486"/>
      <c r="G70" s="486"/>
      <c r="H70" s="486"/>
      <c r="I70" s="486"/>
      <c r="J70" s="486"/>
      <c r="K70" s="486"/>
      <c r="L70" s="486"/>
      <c r="M70" s="486"/>
      <c r="N70" s="486"/>
      <c r="O70" s="348"/>
      <c r="P70" s="342"/>
      <c r="Q70" s="173"/>
      <c r="R70"/>
      <c r="U70"/>
      <c r="V70"/>
      <c r="W70"/>
      <c r="X70"/>
      <c r="Y70"/>
      <c r="Z70"/>
      <c r="AA70"/>
      <c r="AB70"/>
    </row>
    <row r="71" spans="1:28" ht="29.25" customHeight="1" x14ac:dyDescent="0.25">
      <c r="A71" s="107" t="s">
        <v>285</v>
      </c>
      <c r="B71" s="93"/>
      <c r="C71" s="581" t="s">
        <v>17</v>
      </c>
      <c r="D71" s="470"/>
      <c r="E71" s="470"/>
      <c r="F71" s="470"/>
      <c r="G71" s="470"/>
      <c r="H71" s="470"/>
      <c r="I71" s="470"/>
      <c r="J71" s="470"/>
      <c r="K71" s="470"/>
      <c r="L71" s="470"/>
      <c r="M71" s="470"/>
      <c r="N71" s="470"/>
      <c r="O71" s="345"/>
      <c r="Q71" s="352"/>
      <c r="R71"/>
      <c r="U71"/>
      <c r="V71"/>
      <c r="W71"/>
      <c r="X71"/>
      <c r="Y71"/>
      <c r="Z71"/>
      <c r="AA71"/>
      <c r="AB71"/>
    </row>
    <row r="72" spans="1:28" ht="21.75" customHeight="1" x14ac:dyDescent="0.25">
      <c r="A72" s="107" t="s">
        <v>76</v>
      </c>
      <c r="B72" s="107" t="s">
        <v>286</v>
      </c>
      <c r="C72" s="100" t="s">
        <v>264</v>
      </c>
      <c r="D72" s="573" t="s">
        <v>77</v>
      </c>
      <c r="E72" s="574"/>
      <c r="F72" s="574"/>
      <c r="G72" s="574"/>
      <c r="H72" s="574"/>
      <c r="I72" s="574"/>
      <c r="J72" s="574"/>
      <c r="K72" s="574"/>
      <c r="L72" s="574"/>
      <c r="M72" s="574"/>
      <c r="N72" s="574"/>
      <c r="O72" s="101" t="s">
        <v>265</v>
      </c>
      <c r="P72" s="101" t="s">
        <v>266</v>
      </c>
      <c r="Q72" s="172"/>
      <c r="R72"/>
      <c r="U72"/>
      <c r="V72"/>
      <c r="W72"/>
      <c r="X72"/>
      <c r="Y72"/>
      <c r="Z72"/>
      <c r="AA72"/>
      <c r="AB72"/>
    </row>
    <row r="73" spans="1:28" ht="36" customHeight="1" x14ac:dyDescent="0.2">
      <c r="A73" s="107" t="s">
        <v>287</v>
      </c>
      <c r="B73" s="107" t="s">
        <v>80</v>
      </c>
      <c r="C73" s="102" t="s">
        <v>245</v>
      </c>
      <c r="D73" s="607" t="s">
        <v>284</v>
      </c>
      <c r="E73" s="470"/>
      <c r="F73" s="470"/>
      <c r="G73" s="470"/>
      <c r="H73" s="470"/>
      <c r="I73" s="470"/>
      <c r="J73" s="470"/>
      <c r="K73" s="470"/>
      <c r="L73" s="470"/>
      <c r="M73" s="470"/>
      <c r="N73" s="470"/>
      <c r="O73" s="71"/>
      <c r="P73" s="95" t="str">
        <f>IF(O73="","",IF(O73="Yes","Fail",IF(O73="No","Pass","N/A")))</f>
        <v/>
      </c>
      <c r="R73"/>
      <c r="U73"/>
      <c r="V73"/>
      <c r="W73"/>
      <c r="X73"/>
      <c r="Y73"/>
      <c r="Z73"/>
      <c r="AA73"/>
      <c r="AB73"/>
    </row>
    <row r="74" spans="1:28" ht="189" customHeight="1" x14ac:dyDescent="0.2">
      <c r="A74" s="107" t="s">
        <v>288</v>
      </c>
      <c r="B74" s="93"/>
      <c r="C74" s="102" t="s">
        <v>246</v>
      </c>
      <c r="D74" s="609" t="s">
        <v>552</v>
      </c>
      <c r="E74" s="470"/>
      <c r="F74" s="470"/>
      <c r="G74" s="470"/>
      <c r="H74" s="470"/>
      <c r="I74" s="470"/>
      <c r="J74" s="470"/>
      <c r="K74" s="470"/>
      <c r="L74" s="470"/>
      <c r="M74" s="470"/>
      <c r="N74" s="470"/>
      <c r="O74" s="71"/>
      <c r="P74" s="95" t="str">
        <f>IF(O74="","",IF(O74="Yes","Fail",IF(O74="No","Pass","N/A")))</f>
        <v/>
      </c>
      <c r="Q74" s="359"/>
      <c r="R74"/>
      <c r="U74"/>
      <c r="V74"/>
      <c r="W74"/>
      <c r="X74"/>
      <c r="Y74"/>
      <c r="Z74"/>
      <c r="AA74"/>
      <c r="AB74"/>
    </row>
    <row r="75" spans="1:28" ht="94.5" customHeight="1" x14ac:dyDescent="0.2">
      <c r="A75" s="107" t="s">
        <v>81</v>
      </c>
      <c r="B75" s="93"/>
      <c r="C75" s="102" t="s">
        <v>247</v>
      </c>
      <c r="D75" s="609" t="s">
        <v>551</v>
      </c>
      <c r="E75" s="470"/>
      <c r="F75" s="470"/>
      <c r="G75" s="470"/>
      <c r="H75" s="470"/>
      <c r="I75" s="470"/>
      <c r="J75" s="470"/>
      <c r="K75" s="470"/>
      <c r="L75" s="470"/>
      <c r="M75" s="470"/>
      <c r="N75" s="470"/>
      <c r="O75" s="71"/>
      <c r="P75" s="95" t="str">
        <f t="shared" ref="P75:P82" si="6">IF(O75="","",IF(O75="Yes","Pass",IF(O75="No","Fail","N/A")))</f>
        <v/>
      </c>
      <c r="Q75" s="173"/>
      <c r="R75"/>
      <c r="U75"/>
      <c r="V75"/>
      <c r="W75"/>
      <c r="X75"/>
      <c r="Y75"/>
      <c r="Z75"/>
      <c r="AA75"/>
      <c r="AB75"/>
    </row>
    <row r="76" spans="1:28" ht="126" customHeight="1" x14ac:dyDescent="0.2">
      <c r="A76" s="107" t="s">
        <v>69</v>
      </c>
      <c r="B76" s="93"/>
      <c r="C76" s="102" t="s">
        <v>248</v>
      </c>
      <c r="D76" s="579" t="s">
        <v>550</v>
      </c>
      <c r="E76" s="572"/>
      <c r="F76" s="572"/>
      <c r="G76" s="572"/>
      <c r="H76" s="572"/>
      <c r="I76" s="572"/>
      <c r="J76" s="572"/>
      <c r="K76" s="572"/>
      <c r="L76" s="572"/>
      <c r="M76" s="572"/>
      <c r="N76" s="572"/>
      <c r="O76" s="71"/>
      <c r="P76" s="95" t="str">
        <f t="shared" si="6"/>
        <v/>
      </c>
      <c r="Q76" s="173"/>
      <c r="R76"/>
      <c r="U76"/>
      <c r="V76"/>
      <c r="W76"/>
      <c r="X76"/>
      <c r="Y76"/>
      <c r="Z76"/>
      <c r="AA76"/>
      <c r="AB76"/>
    </row>
    <row r="77" spans="1:28" ht="78" customHeight="1" x14ac:dyDescent="0.2">
      <c r="A77" s="107" t="s">
        <v>288</v>
      </c>
      <c r="B77" s="93"/>
      <c r="C77" s="102" t="s">
        <v>249</v>
      </c>
      <c r="D77" s="579" t="s">
        <v>289</v>
      </c>
      <c r="E77" s="572"/>
      <c r="F77" s="572"/>
      <c r="G77" s="572"/>
      <c r="H77" s="572"/>
      <c r="I77" s="572"/>
      <c r="J77" s="572"/>
      <c r="K77" s="572"/>
      <c r="L77" s="572"/>
      <c r="M77" s="572"/>
      <c r="N77" s="582"/>
      <c r="O77" s="71"/>
      <c r="P77" s="95" t="str">
        <f t="shared" si="6"/>
        <v/>
      </c>
      <c r="Q77" s="173"/>
      <c r="R77"/>
      <c r="U77"/>
      <c r="V77"/>
      <c r="W77"/>
      <c r="X77"/>
      <c r="Y77"/>
      <c r="Z77"/>
      <c r="AA77"/>
      <c r="AB77"/>
    </row>
    <row r="78" spans="1:28" ht="108.75" customHeight="1" x14ac:dyDescent="0.2">
      <c r="A78" s="107" t="s">
        <v>73</v>
      </c>
      <c r="B78" s="93"/>
      <c r="C78" s="102" t="s">
        <v>250</v>
      </c>
      <c r="D78" s="579" t="s">
        <v>543</v>
      </c>
      <c r="E78" s="572"/>
      <c r="F78" s="572"/>
      <c r="G78" s="572"/>
      <c r="H78" s="572"/>
      <c r="I78" s="572"/>
      <c r="J78" s="572"/>
      <c r="K78" s="572"/>
      <c r="L78" s="572"/>
      <c r="M78" s="572"/>
      <c r="N78" s="582"/>
      <c r="O78" s="71"/>
      <c r="P78" s="95" t="str">
        <f t="shared" si="6"/>
        <v/>
      </c>
      <c r="Q78" s="173"/>
      <c r="R78"/>
      <c r="U78"/>
      <c r="V78"/>
      <c r="W78"/>
      <c r="X78"/>
      <c r="Y78"/>
      <c r="Z78"/>
      <c r="AA78"/>
      <c r="AB78"/>
    </row>
    <row r="79" spans="1:28" ht="36" customHeight="1" x14ac:dyDescent="0.2">
      <c r="A79" s="107" t="s">
        <v>81</v>
      </c>
      <c r="B79" s="93"/>
      <c r="C79" s="102" t="s">
        <v>251</v>
      </c>
      <c r="D79" s="567" t="s">
        <v>290</v>
      </c>
      <c r="E79" s="572"/>
      <c r="F79" s="572"/>
      <c r="G79" s="572"/>
      <c r="H79" s="572"/>
      <c r="I79" s="572"/>
      <c r="J79" s="572"/>
      <c r="K79" s="572"/>
      <c r="L79" s="572"/>
      <c r="M79" s="572"/>
      <c r="N79" s="582"/>
      <c r="O79" s="71"/>
      <c r="P79" s="95" t="str">
        <f t="shared" si="6"/>
        <v/>
      </c>
      <c r="Q79" s="173"/>
      <c r="R79"/>
      <c r="U79"/>
      <c r="V79"/>
      <c r="W79"/>
      <c r="X79"/>
      <c r="Y79"/>
      <c r="Z79"/>
      <c r="AA79"/>
      <c r="AB79"/>
    </row>
    <row r="80" spans="1:28" ht="91.5" customHeight="1" x14ac:dyDescent="0.2">
      <c r="A80" s="107" t="s">
        <v>81</v>
      </c>
      <c r="B80" s="93"/>
      <c r="C80" s="102" t="s">
        <v>252</v>
      </c>
      <c r="D80" s="579" t="s">
        <v>549</v>
      </c>
      <c r="E80" s="572"/>
      <c r="F80" s="572"/>
      <c r="G80" s="572"/>
      <c r="H80" s="572"/>
      <c r="I80" s="572"/>
      <c r="J80" s="572"/>
      <c r="K80" s="572"/>
      <c r="L80" s="572"/>
      <c r="M80" s="572"/>
      <c r="N80" s="582"/>
      <c r="O80" s="71"/>
      <c r="P80" s="95" t="str">
        <f t="shared" si="6"/>
        <v/>
      </c>
      <c r="Q80" s="173"/>
      <c r="R80"/>
      <c r="U80"/>
      <c r="V80"/>
      <c r="W80"/>
      <c r="X80"/>
      <c r="Y80"/>
      <c r="Z80"/>
      <c r="AA80"/>
      <c r="AB80"/>
    </row>
    <row r="81" spans="1:18" ht="61.5" customHeight="1" x14ac:dyDescent="0.2">
      <c r="A81" s="107" t="s">
        <v>288</v>
      </c>
      <c r="B81" s="93"/>
      <c r="C81" s="102" t="s">
        <v>253</v>
      </c>
      <c r="D81" s="579" t="s">
        <v>291</v>
      </c>
      <c r="E81" s="572"/>
      <c r="F81" s="572"/>
      <c r="G81" s="572"/>
      <c r="H81" s="572"/>
      <c r="I81" s="572"/>
      <c r="J81" s="572"/>
      <c r="K81" s="572"/>
      <c r="L81" s="572"/>
      <c r="M81" s="572"/>
      <c r="N81" s="582"/>
      <c r="O81" s="71"/>
      <c r="P81" s="95" t="str">
        <f t="shared" si="6"/>
        <v/>
      </c>
      <c r="Q81"/>
      <c r="R81"/>
    </row>
    <row r="82" spans="1:18" ht="78.75" customHeight="1" x14ac:dyDescent="0.2">
      <c r="A82" s="106">
        <v>1</v>
      </c>
      <c r="B82" s="93"/>
      <c r="C82" s="102" t="s">
        <v>254</v>
      </c>
      <c r="D82" s="609" t="s">
        <v>548</v>
      </c>
      <c r="E82" s="470"/>
      <c r="F82" s="470"/>
      <c r="G82" s="470"/>
      <c r="H82" s="470"/>
      <c r="I82" s="470"/>
      <c r="J82" s="470"/>
      <c r="K82" s="470"/>
      <c r="L82" s="470"/>
      <c r="M82" s="470"/>
      <c r="N82" s="471"/>
      <c r="O82" s="71"/>
      <c r="P82" s="95" t="str">
        <f t="shared" si="6"/>
        <v/>
      </c>
      <c r="Q82"/>
      <c r="R82"/>
    </row>
    <row r="83" spans="1:18" ht="20.25" customHeight="1" x14ac:dyDescent="0.2">
      <c r="A83" s="107" t="s">
        <v>73</v>
      </c>
      <c r="C83" s="469" t="s">
        <v>292</v>
      </c>
      <c r="D83" s="470"/>
      <c r="E83" s="470"/>
      <c r="F83" s="470"/>
      <c r="G83" s="470"/>
      <c r="H83" s="470"/>
      <c r="I83" s="470"/>
      <c r="J83" s="470"/>
      <c r="K83" s="470"/>
      <c r="L83" s="470"/>
      <c r="M83" s="470"/>
      <c r="N83" s="470"/>
      <c r="O83" s="346"/>
      <c r="P83" s="95"/>
      <c r="Q83"/>
      <c r="R83"/>
    </row>
    <row r="84" spans="1:18" ht="21" customHeight="1" x14ac:dyDescent="0.2">
      <c r="B84" s="93"/>
      <c r="C84" s="581" t="s">
        <v>17</v>
      </c>
      <c r="D84" s="470"/>
      <c r="E84" s="470"/>
      <c r="F84" s="470"/>
      <c r="G84" s="470"/>
      <c r="H84" s="470"/>
      <c r="I84" s="470"/>
      <c r="J84" s="470"/>
      <c r="K84" s="470"/>
      <c r="L84" s="470"/>
      <c r="M84" s="470"/>
      <c r="N84" s="470"/>
      <c r="O84" s="345"/>
      <c r="P84" s="346"/>
      <c r="Q84"/>
      <c r="R84"/>
    </row>
    <row r="85" spans="1:18" ht="18" x14ac:dyDescent="0.2">
      <c r="P85" s="345"/>
      <c r="Q85" s="173"/>
      <c r="R85" s="173"/>
    </row>
    <row r="86" spans="1:18" ht="18" x14ac:dyDescent="0.2">
      <c r="P86" s="105"/>
      <c r="Q86" s="173"/>
      <c r="R86" s="173"/>
    </row>
    <row r="87" spans="1:18" x14ac:dyDescent="0.2">
      <c r="P87" s="105"/>
      <c r="Q87" s="105"/>
      <c r="R87" s="105"/>
    </row>
    <row r="88" spans="1:18" x14ac:dyDescent="0.2">
      <c r="Q88" s="105"/>
      <c r="R88" s="105"/>
    </row>
    <row r="89" spans="1:18" x14ac:dyDescent="0.2">
      <c r="Q89" s="105"/>
      <c r="R89" s="105"/>
    </row>
    <row r="90" spans="1:18" x14ac:dyDescent="0.2">
      <c r="Q90" s="105"/>
      <c r="R90" s="105"/>
    </row>
  </sheetData>
  <sheetProtection algorithmName="SHA-512" hashValue="x3Fu5clXrDxqsYCDntYPj4BFFBMMlJbaT5WdT3OyHmk9LsqKe1B5bKPC4OZvVi2xbfR6ZXO3iDTr++bLQaLgBA==" saltValue="oCCuYCnKg/MqcTsjQwz/5A==" spinCount="100000" sheet="1" objects="1" scenarios="1"/>
  <mergeCells count="83">
    <mergeCell ref="D82:N82"/>
    <mergeCell ref="C83:N83"/>
    <mergeCell ref="C84:N84"/>
    <mergeCell ref="C34:N34"/>
    <mergeCell ref="C35:N35"/>
    <mergeCell ref="D37:N37"/>
    <mergeCell ref="D49:N49"/>
    <mergeCell ref="C50:N50"/>
    <mergeCell ref="D76:N76"/>
    <mergeCell ref="D77:N77"/>
    <mergeCell ref="D78:N78"/>
    <mergeCell ref="D64:N64"/>
    <mergeCell ref="D54:N54"/>
    <mergeCell ref="D63:N63"/>
    <mergeCell ref="D58:N58"/>
    <mergeCell ref="D60:N60"/>
    <mergeCell ref="C61:N61"/>
    <mergeCell ref="C62:N62"/>
    <mergeCell ref="D69:N69"/>
    <mergeCell ref="C71:N71"/>
    <mergeCell ref="D56:N56"/>
    <mergeCell ref="D57:N57"/>
    <mergeCell ref="D52:N52"/>
    <mergeCell ref="D53:N53"/>
    <mergeCell ref="D59:N59"/>
    <mergeCell ref="D13:N13"/>
    <mergeCell ref="D14:N14"/>
    <mergeCell ref="D29:N29"/>
    <mergeCell ref="C51:N51"/>
    <mergeCell ref="D40:N40"/>
    <mergeCell ref="D47:N47"/>
    <mergeCell ref="D48:N48"/>
    <mergeCell ref="D43:N43"/>
    <mergeCell ref="D44:N44"/>
    <mergeCell ref="D45:N45"/>
    <mergeCell ref="D46:N46"/>
    <mergeCell ref="D42:N42"/>
    <mergeCell ref="D41:N41"/>
    <mergeCell ref="D19:N19"/>
    <mergeCell ref="C20:N20"/>
    <mergeCell ref="C21:N21"/>
    <mergeCell ref="D15:N15"/>
    <mergeCell ref="D16:N16"/>
    <mergeCell ref="D17:N17"/>
    <mergeCell ref="D18:N18"/>
    <mergeCell ref="D22:N22"/>
    <mergeCell ref="D31:N31"/>
    <mergeCell ref="D32:N32"/>
    <mergeCell ref="D23:N23"/>
    <mergeCell ref="D24:N24"/>
    <mergeCell ref="D25:N25"/>
    <mergeCell ref="D26:N26"/>
    <mergeCell ref="C27:N27"/>
    <mergeCell ref="D30:N30"/>
    <mergeCell ref="C28:N28"/>
    <mergeCell ref="S1:U1"/>
    <mergeCell ref="T4:U4"/>
    <mergeCell ref="C1:G1"/>
    <mergeCell ref="C2:G2"/>
    <mergeCell ref="D12:N12"/>
    <mergeCell ref="K1:L1"/>
    <mergeCell ref="K2:L2"/>
    <mergeCell ref="E5:G5"/>
    <mergeCell ref="D8:N8"/>
    <mergeCell ref="D9:N9"/>
    <mergeCell ref="D10:N10"/>
    <mergeCell ref="D11:N11"/>
    <mergeCell ref="D33:N33"/>
    <mergeCell ref="D81:N81"/>
    <mergeCell ref="D65:N65"/>
    <mergeCell ref="D66:N66"/>
    <mergeCell ref="D67:N67"/>
    <mergeCell ref="D80:N80"/>
    <mergeCell ref="D79:N79"/>
    <mergeCell ref="D68:N68"/>
    <mergeCell ref="D72:N72"/>
    <mergeCell ref="D73:N73"/>
    <mergeCell ref="D74:N74"/>
    <mergeCell ref="D75:N75"/>
    <mergeCell ref="D36:N36"/>
    <mergeCell ref="D39:N39"/>
    <mergeCell ref="C70:N70"/>
    <mergeCell ref="D55:N55"/>
  </mergeCells>
  <conditionalFormatting sqref="M5">
    <cfRule type="containsText" dxfId="69" priority="4" operator="containsText" text="Fail">
      <formula>NOT(ISERROR(SEARCH("Fail",M5)))</formula>
    </cfRule>
  </conditionalFormatting>
  <conditionalFormatting sqref="P8:R19 P20 P22:R26 P29:R33 Q34:Q46 P36:P37 P39:P49 Q51:Q59 P52:P60 P63:P69 Q63:Q70 P72:P83 Q74:Q80">
    <cfRule type="containsText" dxfId="68" priority="1" operator="containsText" text="Fail">
      <formula>NOT(ISERROR(SEARCH("Fail",P8)))</formula>
    </cfRule>
  </conditionalFormatting>
  <conditionalFormatting sqref="Q85:R86">
    <cfRule type="containsText" dxfId="67" priority="6" operator="containsText" text="Fail">
      <formula>NOT(ISERROR(SEARCH("Fail",Q85)))</formula>
    </cfRule>
  </conditionalFormatting>
  <conditionalFormatting sqref="U1:U3 T4">
    <cfRule type="containsText" dxfId="66" priority="2" operator="containsText" text="Fail">
      <formula>NOT(ISERROR(SEARCH("Fail",T1)))</formula>
    </cfRule>
  </conditionalFormatting>
  <conditionalFormatting sqref="AE9">
    <cfRule type="containsText" dxfId="65" priority="5" operator="containsText" text="Fail">
      <formula>NOT(ISERROR(SEARCH("Fail",AE9)))</formula>
    </cfRule>
  </conditionalFormatting>
  <dataValidations count="4">
    <dataValidation type="whole" operator="greaterThan" allowBlank="1" showInputMessage="1" showErrorMessage="1" sqref="X9:X34" xr:uid="{13E500F4-C709-424A-9E8F-075A3FE35C3E}">
      <formula1>0</formula1>
    </dataValidation>
    <dataValidation type="date" operator="greaterThan" allowBlank="1" showInputMessage="1" showErrorMessage="1" sqref="W9:W34" xr:uid="{72FF7A97-11C5-44E5-8798-DC03DE54FBDA}">
      <formula1>36526</formula1>
    </dataValidation>
    <dataValidation type="list" showErrorMessage="1" errorTitle="Invalid Selection" error="Select either Yes, No, or N/A from the dropdown list. Click &quot;Cancel&quot; below, then update selection." sqref="O73:O82 O23:O26 O53:O60 O39:O49 O64:O69 O37 O30:O33 O9:O19" xr:uid="{040C0A19-4120-42FD-812E-E1AEC678146C}">
      <formula1>"Yes,No,N/A"</formula1>
    </dataValidation>
    <dataValidation type="decimal" operator="greaterThanOrEqual" allowBlank="1" showInputMessage="1" showErrorMessage="1" errorTitle="Input Error" error="Insert the claimed amount with dollars and cents in $0.00 format. Click &quot;Cancel&quot; below and try again." sqref="Y9:Y34" xr:uid="{326E32A6-B401-44FD-9AE4-660DC8F746E7}">
      <formula1>0</formula1>
    </dataValidation>
  </dataValidations>
  <pageMargins left="0.7" right="0.7" top="1" bottom="0.75" header="0.3" footer="0.3"/>
  <pageSetup scale="70" fitToHeight="0" orientation="portrait" r:id="rId1"/>
  <headerFooter>
    <oddHeader>&amp;CConfidential QI Report
San Diego County Mental Health Plan
Behavioral Health Services
Fiscal Year 23-24</oddHeader>
    <oddFooter>&amp;LFY 23-24 Medical Record Review Report - Excel - Rev. 7-1-23</oddFooter>
  </headerFooter>
  <colBreaks count="1" manualBreakCount="1">
    <brk id="16" max="84"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FC56D142-B799-4079-B64F-EBDCEB78BBEF}">
          <x14:formula1>
            <xm:f>Validations!$E$4:$E$15</xm:f>
          </x14:formula1>
          <xm:sqref>Z9:Z34</xm:sqref>
        </x14:dataValidation>
        <x14:dataValidation type="list" allowBlank="1" showInputMessage="1" showErrorMessage="1" xr:uid="{429FF74E-4C00-4DA0-9BB7-0F1DFD53940C}">
          <x14:formula1>
            <xm:f>Validations!$D$4:$D$7</xm:f>
          </x14:formula1>
          <xm:sqref>AA9:AA34</xm:sqref>
        </x14:dataValidation>
        <x14:dataValidation type="list" allowBlank="1" showInputMessage="1" showErrorMessage="1" xr:uid="{160FFE7A-07C3-40CA-BC63-368A5DA49AFE}">
          <x14:formula1>
            <xm:f>Validations!$C$4:$C$54</xm:f>
          </x14:formula1>
          <xm:sqref>V9:V34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FFECC-EF79-4A53-BBF6-A76689ACF031}">
  <sheetPr codeName="Sheet10">
    <tabColor theme="3" tint="0.39997558519241921"/>
  </sheetPr>
  <dimension ref="A1:AE90"/>
  <sheetViews>
    <sheetView showGridLines="0" view="pageBreakPreview" zoomScale="92" zoomScaleNormal="80" zoomScaleSheetLayoutView="92" workbookViewId="0">
      <selection activeCell="D12" sqref="D12:N12"/>
    </sheetView>
  </sheetViews>
  <sheetFormatPr defaultColWidth="9.5703125" defaultRowHeight="15" x14ac:dyDescent="0.2"/>
  <cols>
    <col min="1" max="1" width="7.7109375" style="106" customWidth="1"/>
    <col min="2" max="2" width="8.42578125" style="4" customWidth="1"/>
    <col min="3" max="3" width="8.42578125" style="5" customWidth="1"/>
    <col min="4" max="4" width="2.5703125" style="1" customWidth="1"/>
    <col min="5" max="5" width="7.140625" style="1" customWidth="1"/>
    <col min="6" max="6" width="8.5703125" style="1" customWidth="1"/>
    <col min="7" max="7" width="6.42578125" style="1" customWidth="1"/>
    <col min="8" max="8" width="4.7109375" style="1" customWidth="1"/>
    <col min="9" max="9" width="27.28515625" style="1" customWidth="1"/>
    <col min="10" max="10" width="2.5703125" style="1" customWidth="1"/>
    <col min="11" max="11" width="18.140625" style="1" customWidth="1"/>
    <col min="12" max="12" width="3.42578125" style="1" customWidth="1"/>
    <col min="13" max="13" width="12.140625" style="1" customWidth="1"/>
    <col min="14" max="14" width="9.5703125" style="1" customWidth="1"/>
    <col min="15" max="15" width="13.28515625" style="1" customWidth="1"/>
    <col min="16" max="16" width="8.7109375" style="1" hidden="1" customWidth="1"/>
    <col min="17" max="18" width="2" style="1" customWidth="1"/>
    <col min="19" max="19" width="11.7109375" customWidth="1"/>
    <col min="20" max="20" width="10.42578125" customWidth="1"/>
    <col min="21" max="21" width="12.140625" style="1" customWidth="1"/>
    <col min="22" max="22" width="23.42578125" style="1" customWidth="1"/>
    <col min="23" max="23" width="12.42578125" style="1" customWidth="1"/>
    <col min="24" max="25" width="9.5703125" style="1"/>
    <col min="26" max="26" width="12.140625" style="1" customWidth="1"/>
    <col min="27" max="27" width="14" style="1" customWidth="1"/>
    <col min="28" max="28" width="22" style="1" customWidth="1"/>
    <col min="29" max="16384" width="9.5703125" style="1"/>
  </cols>
  <sheetData>
    <row r="1" spans="1:31" s="5" customFormat="1" ht="15.75" x14ac:dyDescent="0.25">
      <c r="A1" s="106"/>
      <c r="B1" s="4"/>
      <c r="C1" s="560" t="s">
        <v>338</v>
      </c>
      <c r="D1" s="561"/>
      <c r="E1" s="561"/>
      <c r="F1" s="561"/>
      <c r="G1" s="562"/>
      <c r="H1"/>
      <c r="I1" s="86" t="s">
        <v>38</v>
      </c>
      <c r="J1" s="153"/>
      <c r="K1" s="560" t="s">
        <v>12</v>
      </c>
      <c r="L1" s="562"/>
      <c r="N1"/>
      <c r="O1"/>
      <c r="P1"/>
      <c r="Q1"/>
      <c r="R1"/>
      <c r="S1" s="560" t="s">
        <v>260</v>
      </c>
      <c r="T1" s="561"/>
      <c r="U1" s="562"/>
      <c r="V1"/>
      <c r="W1"/>
      <c r="X1"/>
      <c r="Y1"/>
      <c r="Z1"/>
      <c r="AA1"/>
      <c r="AB1"/>
    </row>
    <row r="2" spans="1:31" s="5" customFormat="1" ht="15" customHeight="1" x14ac:dyDescent="0.2">
      <c r="A2" s="106"/>
      <c r="B2" s="4"/>
      <c r="C2" s="583">
        <f>'Chart Review Info'!D3</f>
        <v>0</v>
      </c>
      <c r="D2" s="584"/>
      <c r="E2" s="584"/>
      <c r="F2" s="584"/>
      <c r="G2" s="585"/>
      <c r="H2"/>
      <c r="I2" s="150">
        <f>'Chart Review Info'!D4</f>
        <v>0</v>
      </c>
      <c r="J2" s="153"/>
      <c r="K2" s="592">
        <f>'Chart Review Info'!F21</f>
        <v>0</v>
      </c>
      <c r="L2" s="591"/>
      <c r="N2"/>
      <c r="O2"/>
      <c r="P2"/>
      <c r="Q2"/>
      <c r="R2"/>
      <c r="S2" s="55">
        <f>'Chart Review Info'!G4</f>
        <v>0</v>
      </c>
      <c r="T2" s="82" t="s">
        <v>261</v>
      </c>
      <c r="U2" s="83">
        <f>'Chart Review Info'!G5</f>
        <v>0</v>
      </c>
      <c r="V2"/>
      <c r="W2"/>
      <c r="X2"/>
      <c r="Y2"/>
      <c r="Z2"/>
      <c r="AA2"/>
      <c r="AB2"/>
    </row>
    <row r="3" spans="1:31" s="5" customFormat="1" x14ac:dyDescent="0.2">
      <c r="A3" s="106"/>
      <c r="B3" s="4"/>
      <c r="C3" s="84"/>
      <c r="H3"/>
      <c r="J3" s="98"/>
      <c r="V3"/>
      <c r="W3"/>
      <c r="X3"/>
      <c r="Y3"/>
      <c r="Z3"/>
      <c r="AA3"/>
      <c r="AB3"/>
    </row>
    <row r="4" spans="1:31" s="5" customFormat="1" ht="15.75" x14ac:dyDescent="0.25">
      <c r="A4" s="106"/>
      <c r="B4" s="4"/>
      <c r="C4" s="85" t="s">
        <v>202</v>
      </c>
      <c r="E4" s="85" t="s">
        <v>86</v>
      </c>
      <c r="F4" s="86"/>
      <c r="G4" s="85"/>
      <c r="H4"/>
      <c r="I4" s="151" t="s">
        <v>350</v>
      </c>
      <c r="J4" s="98"/>
      <c r="K4" s="87" t="s">
        <v>260</v>
      </c>
      <c r="L4" s="88"/>
      <c r="O4" s="86" t="s">
        <v>294</v>
      </c>
      <c r="P4"/>
      <c r="Q4"/>
      <c r="R4"/>
      <c r="S4" s="85" t="s">
        <v>12</v>
      </c>
      <c r="T4" s="563">
        <f>Prog_8</f>
        <v>0</v>
      </c>
      <c r="U4" s="564"/>
      <c r="V4"/>
      <c r="W4"/>
      <c r="X4"/>
      <c r="Y4"/>
      <c r="Z4"/>
      <c r="AA4"/>
      <c r="AB4"/>
    </row>
    <row r="5" spans="1:31" s="5" customFormat="1" x14ac:dyDescent="0.2">
      <c r="A5" s="106"/>
      <c r="B5" s="4"/>
      <c r="C5" s="54">
        <v>8</v>
      </c>
      <c r="E5" s="589" t="str">
        <f>'Chart Review Info'!C21</f>
        <v>N/A</v>
      </c>
      <c r="F5" s="590"/>
      <c r="G5" s="591"/>
      <c r="H5"/>
      <c r="I5" s="152">
        <f>Consum_8</f>
        <v>0</v>
      </c>
      <c r="J5" s="98"/>
      <c r="K5" s="293">
        <f>'Chart Review Info'!G4</f>
        <v>0</v>
      </c>
      <c r="L5" s="102" t="s">
        <v>261</v>
      </c>
      <c r="M5" s="293">
        <f>'Chart Review Info'!G5</f>
        <v>0</v>
      </c>
      <c r="O5" s="54">
        <f>'Chart Review Info'!G21</f>
        <v>0</v>
      </c>
      <c r="P5"/>
      <c r="Q5"/>
      <c r="R5"/>
      <c r="S5"/>
      <c r="T5"/>
      <c r="V5"/>
      <c r="W5"/>
      <c r="X5"/>
      <c r="Y5" s="6" t="s">
        <v>514</v>
      </c>
      <c r="Z5"/>
      <c r="AA5"/>
      <c r="AB5"/>
    </row>
    <row r="6" spans="1:31" x14ac:dyDescent="0.2">
      <c r="C6" s="154"/>
      <c r="D6" s="158"/>
      <c r="E6" s="155"/>
      <c r="F6" s="155"/>
      <c r="G6" s="155"/>
      <c r="H6" s="155"/>
      <c r="I6" s="155"/>
      <c r="J6" s="155"/>
      <c r="K6" s="155"/>
      <c r="L6" s="155"/>
      <c r="M6" s="155"/>
      <c r="N6" s="155"/>
      <c r="O6" s="155"/>
      <c r="P6" s="155"/>
      <c r="Q6" s="155"/>
      <c r="R6" s="155"/>
      <c r="T6" s="1"/>
      <c r="W6" s="51"/>
      <c r="Y6" s="329">
        <f>SUM(Y9:Y16)</f>
        <v>0</v>
      </c>
      <c r="AA6" s="13"/>
      <c r="AB6" s="13"/>
    </row>
    <row r="7" spans="1:31" ht="23.25" x14ac:dyDescent="0.25">
      <c r="C7" s="89" t="s">
        <v>262</v>
      </c>
      <c r="D7" s="159"/>
      <c r="E7" s="90"/>
      <c r="F7" s="90"/>
      <c r="G7" s="90"/>
      <c r="H7" s="90"/>
      <c r="I7" s="90"/>
      <c r="J7" s="90"/>
      <c r="K7" s="90"/>
      <c r="L7" s="90"/>
      <c r="M7" s="90"/>
      <c r="N7" s="90"/>
      <c r="O7" s="90"/>
      <c r="P7" s="90"/>
      <c r="S7" s="20"/>
      <c r="T7" s="21"/>
      <c r="U7" s="21"/>
      <c r="V7" s="21"/>
      <c r="W7" s="21"/>
      <c r="X7" s="160" t="s">
        <v>263</v>
      </c>
      <c r="Y7" s="160"/>
      <c r="Z7" s="160"/>
      <c r="AA7" s="22"/>
      <c r="AB7" s="23"/>
    </row>
    <row r="8" spans="1:31" ht="27" customHeight="1" x14ac:dyDescent="0.25">
      <c r="C8" s="91" t="s">
        <v>264</v>
      </c>
      <c r="D8" s="588" t="s">
        <v>68</v>
      </c>
      <c r="E8" s="574"/>
      <c r="F8" s="574"/>
      <c r="G8" s="574"/>
      <c r="H8" s="574"/>
      <c r="I8" s="574"/>
      <c r="J8" s="574"/>
      <c r="K8" s="574"/>
      <c r="L8" s="574"/>
      <c r="M8" s="574"/>
      <c r="N8" s="574"/>
      <c r="O8" s="92" t="s">
        <v>265</v>
      </c>
      <c r="P8" s="92" t="s">
        <v>266</v>
      </c>
      <c r="Q8" s="359"/>
      <c r="R8" s="351"/>
      <c r="S8" s="7" t="s">
        <v>449</v>
      </c>
      <c r="T8" s="9" t="s">
        <v>87</v>
      </c>
      <c r="U8" s="7" t="s">
        <v>88</v>
      </c>
      <c r="V8" s="7" t="s">
        <v>89</v>
      </c>
      <c r="W8" s="7" t="s">
        <v>90</v>
      </c>
      <c r="X8" s="7" t="s">
        <v>644</v>
      </c>
      <c r="Y8" s="8" t="s">
        <v>201</v>
      </c>
      <c r="Z8" s="116" t="s">
        <v>91</v>
      </c>
      <c r="AA8" s="117" t="s">
        <v>95</v>
      </c>
      <c r="AB8" s="117" t="s">
        <v>92</v>
      </c>
    </row>
    <row r="9" spans="1:31" ht="60" customHeight="1" x14ac:dyDescent="0.2">
      <c r="A9" s="212" t="s">
        <v>73</v>
      </c>
      <c r="B9" s="93"/>
      <c r="C9" s="94" t="s">
        <v>204</v>
      </c>
      <c r="D9" s="567" t="s">
        <v>658</v>
      </c>
      <c r="E9" s="470"/>
      <c r="F9" s="470"/>
      <c r="G9" s="470"/>
      <c r="H9" s="470"/>
      <c r="I9" s="470"/>
      <c r="J9" s="470"/>
      <c r="K9" s="470"/>
      <c r="L9" s="470"/>
      <c r="M9" s="470"/>
      <c r="N9" s="471"/>
      <c r="O9" s="71"/>
      <c r="P9" s="95" t="str">
        <f t="shared" ref="P9:P12" si="0">IF(O9="","",IF(O9="Yes","Pass",IF(O9="No","Fail","N/A")))</f>
        <v/>
      </c>
      <c r="Q9" s="173"/>
      <c r="R9" s="173"/>
      <c r="S9" s="124"/>
      <c r="T9" s="125"/>
      <c r="U9" s="125"/>
      <c r="V9" s="125"/>
      <c r="W9" s="126"/>
      <c r="X9" s="125"/>
      <c r="Y9" s="127"/>
      <c r="Z9" s="128"/>
      <c r="AA9" s="129"/>
      <c r="AB9" s="130"/>
      <c r="AC9" s="96"/>
      <c r="AD9" s="96"/>
      <c r="AE9" s="96"/>
    </row>
    <row r="10" spans="1:31" ht="87" customHeight="1" x14ac:dyDescent="0.2">
      <c r="A10" s="107">
        <v>1</v>
      </c>
      <c r="B10" s="93"/>
      <c r="C10" s="94" t="s">
        <v>205</v>
      </c>
      <c r="D10" s="567" t="s">
        <v>528</v>
      </c>
      <c r="E10" s="586"/>
      <c r="F10" s="586"/>
      <c r="G10" s="586"/>
      <c r="H10" s="586"/>
      <c r="I10" s="586"/>
      <c r="J10" s="586"/>
      <c r="K10" s="586"/>
      <c r="L10" s="586"/>
      <c r="M10" s="586"/>
      <c r="N10" s="587"/>
      <c r="O10" s="71"/>
      <c r="P10" s="95" t="str">
        <f t="shared" si="0"/>
        <v/>
      </c>
      <c r="Q10" s="173"/>
      <c r="R10" s="173"/>
      <c r="S10" s="124"/>
      <c r="T10" s="124"/>
      <c r="U10" s="124"/>
      <c r="V10" s="125"/>
      <c r="W10" s="131"/>
      <c r="X10" s="124"/>
      <c r="Y10" s="127"/>
      <c r="Z10" s="128"/>
      <c r="AA10" s="129"/>
      <c r="AB10" s="129"/>
    </row>
    <row r="11" spans="1:31" ht="50.25" customHeight="1" x14ac:dyDescent="0.2">
      <c r="A11" s="107" t="s">
        <v>70</v>
      </c>
      <c r="B11" s="93"/>
      <c r="C11" s="94" t="s">
        <v>206</v>
      </c>
      <c r="D11" s="567" t="s">
        <v>529</v>
      </c>
      <c r="E11" s="586"/>
      <c r="F11" s="586"/>
      <c r="G11" s="586"/>
      <c r="H11" s="586"/>
      <c r="I11" s="586"/>
      <c r="J11" s="586"/>
      <c r="K11" s="586"/>
      <c r="L11" s="586"/>
      <c r="M11" s="586"/>
      <c r="N11" s="587"/>
      <c r="O11" s="71"/>
      <c r="P11" s="95" t="str">
        <f t="shared" si="0"/>
        <v/>
      </c>
      <c r="Q11" s="173"/>
      <c r="R11" s="173"/>
      <c r="S11" s="124"/>
      <c r="T11" s="124"/>
      <c r="U11" s="124"/>
      <c r="V11" s="125"/>
      <c r="W11" s="131"/>
      <c r="X11" s="124"/>
      <c r="Y11" s="127"/>
      <c r="Z11" s="128"/>
      <c r="AA11" s="129"/>
      <c r="AB11" s="129"/>
    </row>
    <row r="12" spans="1:31" ht="33.75" customHeight="1" x14ac:dyDescent="0.2">
      <c r="A12" s="106">
        <v>1</v>
      </c>
      <c r="C12" s="94" t="s">
        <v>207</v>
      </c>
      <c r="D12" s="567" t="s">
        <v>659</v>
      </c>
      <c r="E12" s="586"/>
      <c r="F12" s="586"/>
      <c r="G12" s="586"/>
      <c r="H12" s="586"/>
      <c r="I12" s="586"/>
      <c r="J12" s="586"/>
      <c r="K12" s="586"/>
      <c r="L12" s="586"/>
      <c r="M12" s="586"/>
      <c r="N12" s="587"/>
      <c r="O12" s="71"/>
      <c r="P12" s="95" t="str">
        <f t="shared" si="0"/>
        <v/>
      </c>
      <c r="Q12" s="173"/>
      <c r="R12" s="173"/>
      <c r="S12" s="124"/>
      <c r="T12" s="124"/>
      <c r="U12" s="124"/>
      <c r="V12" s="125"/>
      <c r="W12" s="131"/>
      <c r="X12" s="124"/>
      <c r="Y12" s="127"/>
      <c r="Z12" s="128"/>
      <c r="AA12" s="129"/>
      <c r="AB12" s="129"/>
    </row>
    <row r="13" spans="1:31" ht="36" customHeight="1" x14ac:dyDescent="0.2">
      <c r="A13" s="107">
        <v>1</v>
      </c>
      <c r="B13" s="93"/>
      <c r="C13" s="97" t="s">
        <v>208</v>
      </c>
      <c r="D13" s="567" t="s">
        <v>656</v>
      </c>
      <c r="E13" s="470"/>
      <c r="F13" s="470"/>
      <c r="G13" s="470"/>
      <c r="H13" s="470"/>
      <c r="I13" s="470"/>
      <c r="J13" s="470"/>
      <c r="K13" s="470"/>
      <c r="L13" s="470"/>
      <c r="M13" s="470"/>
      <c r="N13" s="471"/>
      <c r="O13" s="71"/>
      <c r="P13" s="95" t="str">
        <f t="shared" ref="P13:P19" si="1">IF(O13="","",IF(O13="Yes","Pass",IF(O13="No","Fail","N/A")))</f>
        <v/>
      </c>
      <c r="Q13" s="173"/>
      <c r="R13" s="173"/>
      <c r="S13" s="124"/>
      <c r="T13" s="124"/>
      <c r="U13" s="124"/>
      <c r="V13" s="125"/>
      <c r="W13" s="131"/>
      <c r="X13" s="124"/>
      <c r="Y13" s="127"/>
      <c r="Z13" s="128"/>
      <c r="AA13" s="129"/>
      <c r="AB13" s="129"/>
    </row>
    <row r="14" spans="1:31" ht="46.5" customHeight="1" x14ac:dyDescent="0.2">
      <c r="A14" s="107" t="s">
        <v>70</v>
      </c>
      <c r="B14" s="93"/>
      <c r="C14" s="97" t="s">
        <v>209</v>
      </c>
      <c r="D14" s="567" t="s">
        <v>530</v>
      </c>
      <c r="E14" s="586"/>
      <c r="F14" s="586"/>
      <c r="G14" s="586"/>
      <c r="H14" s="586"/>
      <c r="I14" s="586"/>
      <c r="J14" s="586"/>
      <c r="K14" s="586"/>
      <c r="L14" s="586"/>
      <c r="M14" s="586"/>
      <c r="N14" s="587"/>
      <c r="O14" s="71"/>
      <c r="P14" s="95" t="str">
        <f t="shared" si="1"/>
        <v/>
      </c>
      <c r="Q14" s="173"/>
      <c r="R14" s="173"/>
      <c r="S14" s="124"/>
      <c r="T14" s="124"/>
      <c r="U14" s="124"/>
      <c r="V14" s="125"/>
      <c r="W14" s="131"/>
      <c r="X14" s="124"/>
      <c r="Y14" s="127"/>
      <c r="Z14" s="128"/>
      <c r="AA14" s="129"/>
      <c r="AB14" s="129"/>
    </row>
    <row r="15" spans="1:31" ht="49.5" customHeight="1" x14ac:dyDescent="0.2">
      <c r="A15" s="107">
        <v>1</v>
      </c>
      <c r="B15" s="93"/>
      <c r="C15" s="94" t="s">
        <v>210</v>
      </c>
      <c r="D15" s="567" t="s">
        <v>531</v>
      </c>
      <c r="E15" s="586"/>
      <c r="F15" s="586"/>
      <c r="G15" s="586"/>
      <c r="H15" s="586"/>
      <c r="I15" s="586"/>
      <c r="J15" s="586"/>
      <c r="K15" s="586"/>
      <c r="L15" s="586"/>
      <c r="M15" s="586"/>
      <c r="N15" s="587"/>
      <c r="O15" s="71"/>
      <c r="P15" s="95" t="str">
        <f t="shared" si="1"/>
        <v/>
      </c>
      <c r="Q15" s="173"/>
      <c r="R15" s="173"/>
      <c r="S15" s="124"/>
      <c r="T15" s="124"/>
      <c r="U15" s="124"/>
      <c r="V15" s="125"/>
      <c r="W15" s="131"/>
      <c r="X15" s="124"/>
      <c r="Y15" s="127"/>
      <c r="Z15" s="128"/>
      <c r="AA15" s="129"/>
      <c r="AB15" s="129"/>
    </row>
    <row r="16" spans="1:31" ht="66.75" customHeight="1" x14ac:dyDescent="0.2">
      <c r="A16" s="106">
        <v>1</v>
      </c>
      <c r="C16" s="97" t="s">
        <v>211</v>
      </c>
      <c r="D16" s="567" t="s">
        <v>532</v>
      </c>
      <c r="E16" s="586"/>
      <c r="F16" s="586"/>
      <c r="G16" s="586"/>
      <c r="H16" s="586"/>
      <c r="I16" s="586"/>
      <c r="J16" s="586"/>
      <c r="K16" s="586"/>
      <c r="L16" s="586"/>
      <c r="M16" s="586"/>
      <c r="N16" s="587"/>
      <c r="O16" s="71"/>
      <c r="P16" s="95" t="str">
        <f t="shared" si="1"/>
        <v/>
      </c>
      <c r="Q16" s="173"/>
      <c r="R16" s="173"/>
      <c r="S16" s="124"/>
      <c r="T16" s="124"/>
      <c r="U16" s="124"/>
      <c r="V16" s="125"/>
      <c r="W16" s="131"/>
      <c r="X16" s="124"/>
      <c r="Y16" s="127"/>
      <c r="Z16" s="128"/>
      <c r="AA16" s="129"/>
      <c r="AB16" s="129"/>
    </row>
    <row r="17" spans="1:28" ht="39" customHeight="1" x14ac:dyDescent="0.2">
      <c r="A17" s="107" t="s">
        <v>70</v>
      </c>
      <c r="B17" s="93"/>
      <c r="C17" s="97" t="s">
        <v>212</v>
      </c>
      <c r="D17" s="567" t="s">
        <v>533</v>
      </c>
      <c r="E17" s="586"/>
      <c r="F17" s="586"/>
      <c r="G17" s="586"/>
      <c r="H17" s="586"/>
      <c r="I17" s="586"/>
      <c r="J17" s="586"/>
      <c r="K17" s="586"/>
      <c r="L17" s="586"/>
      <c r="M17" s="586"/>
      <c r="N17" s="587"/>
      <c r="O17" s="71"/>
      <c r="P17" s="95" t="str">
        <f t="shared" si="1"/>
        <v/>
      </c>
      <c r="Q17" s="173"/>
      <c r="R17" s="173"/>
      <c r="S17" s="124"/>
      <c r="T17" s="124"/>
      <c r="U17" s="124"/>
      <c r="V17" s="125"/>
      <c r="W17" s="131"/>
      <c r="X17" s="124"/>
      <c r="Y17" s="127"/>
      <c r="Z17" s="128"/>
      <c r="AA17" s="129"/>
      <c r="AB17" s="129"/>
    </row>
    <row r="18" spans="1:28" ht="83.25" customHeight="1" x14ac:dyDescent="0.2">
      <c r="A18" s="107" t="s">
        <v>70</v>
      </c>
      <c r="B18" s="93"/>
      <c r="C18" s="94" t="s">
        <v>657</v>
      </c>
      <c r="D18" s="567" t="s">
        <v>534</v>
      </c>
      <c r="E18" s="586"/>
      <c r="F18" s="586"/>
      <c r="G18" s="586"/>
      <c r="H18" s="586"/>
      <c r="I18" s="586"/>
      <c r="J18" s="586"/>
      <c r="K18" s="586"/>
      <c r="L18" s="586"/>
      <c r="M18" s="586"/>
      <c r="N18" s="587"/>
      <c r="O18" s="71"/>
      <c r="P18" s="95" t="str">
        <f t="shared" si="1"/>
        <v/>
      </c>
      <c r="Q18" s="173"/>
      <c r="R18" s="173"/>
      <c r="S18" s="124"/>
      <c r="T18" s="124"/>
      <c r="U18" s="124"/>
      <c r="V18" s="125"/>
      <c r="W18" s="131"/>
      <c r="X18" s="124"/>
      <c r="Y18" s="127"/>
      <c r="Z18" s="128"/>
      <c r="AA18" s="129"/>
      <c r="AB18" s="129"/>
    </row>
    <row r="19" spans="1:28" ht="47.25" customHeight="1" x14ac:dyDescent="0.2">
      <c r="A19" s="107" t="s">
        <v>81</v>
      </c>
      <c r="B19" s="93"/>
      <c r="C19" s="391" t="s">
        <v>213</v>
      </c>
      <c r="D19" s="571" t="s">
        <v>535</v>
      </c>
      <c r="E19" s="572"/>
      <c r="F19" s="572"/>
      <c r="G19" s="572"/>
      <c r="H19" s="572"/>
      <c r="I19" s="572"/>
      <c r="J19" s="572"/>
      <c r="K19" s="572"/>
      <c r="L19" s="572"/>
      <c r="M19" s="572"/>
      <c r="N19" s="572"/>
      <c r="O19" s="71"/>
      <c r="P19" s="95" t="str">
        <f t="shared" si="1"/>
        <v/>
      </c>
      <c r="Q19" s="173"/>
      <c r="R19" s="173"/>
      <c r="S19" s="124"/>
      <c r="T19" s="124"/>
      <c r="U19" s="124"/>
      <c r="V19" s="125"/>
      <c r="W19" s="131"/>
      <c r="X19" s="124"/>
      <c r="Y19" s="127"/>
      <c r="Z19" s="128"/>
      <c r="AA19" s="129"/>
      <c r="AB19" s="129"/>
    </row>
    <row r="20" spans="1:28" ht="22.5" customHeight="1" x14ac:dyDescent="0.2">
      <c r="A20" s="106">
        <v>1</v>
      </c>
      <c r="B20" s="93"/>
      <c r="C20" s="575" t="s">
        <v>267</v>
      </c>
      <c r="D20" s="470"/>
      <c r="E20" s="470"/>
      <c r="F20" s="470"/>
      <c r="G20" s="470"/>
      <c r="H20" s="470"/>
      <c r="I20" s="470"/>
      <c r="J20" s="470"/>
      <c r="K20" s="470"/>
      <c r="L20" s="470"/>
      <c r="M20" s="470"/>
      <c r="N20" s="470"/>
      <c r="O20"/>
      <c r="P20" s="392"/>
      <c r="Q20" s="174"/>
      <c r="R20" s="174"/>
      <c r="S20" s="124"/>
      <c r="T20" s="124"/>
      <c r="U20" s="124"/>
      <c r="V20" s="125"/>
      <c r="W20" s="131"/>
      <c r="X20" s="124"/>
      <c r="Y20" s="127"/>
      <c r="Z20" s="128"/>
      <c r="AA20" s="129"/>
      <c r="AB20" s="129"/>
    </row>
    <row r="21" spans="1:28" ht="30.75" customHeight="1" x14ac:dyDescent="0.2">
      <c r="A21" s="107" t="s">
        <v>73</v>
      </c>
      <c r="C21" s="581" t="s">
        <v>17</v>
      </c>
      <c r="D21" s="470"/>
      <c r="E21" s="470"/>
      <c r="F21" s="470"/>
      <c r="G21" s="470"/>
      <c r="H21" s="470"/>
      <c r="I21" s="470"/>
      <c r="J21" s="470"/>
      <c r="K21" s="470"/>
      <c r="L21" s="470"/>
      <c r="M21" s="470"/>
      <c r="N21" s="471"/>
      <c r="O21" s="345"/>
      <c r="P21" s="343"/>
      <c r="Q21" s="172"/>
      <c r="R21" s="172"/>
      <c r="S21" s="124"/>
      <c r="T21" s="124"/>
      <c r="U21" s="124"/>
      <c r="V21" s="125"/>
      <c r="W21" s="131"/>
      <c r="X21" s="124"/>
      <c r="Y21" s="132"/>
      <c r="Z21" s="128"/>
      <c r="AA21" s="129"/>
      <c r="AB21" s="129"/>
    </row>
    <row r="22" spans="1:28" ht="18" customHeight="1" x14ac:dyDescent="0.25">
      <c r="C22" s="100" t="s">
        <v>264</v>
      </c>
      <c r="D22" s="573" t="s">
        <v>71</v>
      </c>
      <c r="E22" s="574"/>
      <c r="F22" s="574"/>
      <c r="G22" s="574"/>
      <c r="H22" s="574"/>
      <c r="I22" s="574"/>
      <c r="J22" s="574"/>
      <c r="K22" s="574"/>
      <c r="L22" s="574"/>
      <c r="M22" s="574"/>
      <c r="N22" s="440"/>
      <c r="O22" s="101" t="s">
        <v>265</v>
      </c>
      <c r="P22" s="101" t="s">
        <v>266</v>
      </c>
      <c r="Q22" s="359"/>
      <c r="R22" s="175"/>
      <c r="S22" s="124"/>
      <c r="T22" s="124"/>
      <c r="U22" s="124"/>
      <c r="V22" s="125"/>
      <c r="W22" s="131"/>
      <c r="X22" s="124"/>
      <c r="Y22" s="127"/>
      <c r="Z22" s="128"/>
      <c r="AA22" s="129"/>
      <c r="AB22" s="129"/>
    </row>
    <row r="23" spans="1:28" ht="18" customHeight="1" x14ac:dyDescent="0.2">
      <c r="A23" s="106">
        <v>1</v>
      </c>
      <c r="C23" s="102" t="s">
        <v>215</v>
      </c>
      <c r="D23" s="567" t="s">
        <v>268</v>
      </c>
      <c r="E23" s="470"/>
      <c r="F23" s="470"/>
      <c r="G23" s="470"/>
      <c r="H23" s="470"/>
      <c r="I23" s="470"/>
      <c r="J23" s="470"/>
      <c r="K23" s="470"/>
      <c r="L23" s="470"/>
      <c r="M23" s="470"/>
      <c r="N23" s="471"/>
      <c r="O23" s="71"/>
      <c r="P23" s="95" t="str">
        <f>IF(O23="","",IF(O23="Yes","Pass",IF(O23="No","Fail","N/A")))</f>
        <v/>
      </c>
      <c r="Q23" s="173"/>
      <c r="R23" s="173"/>
      <c r="S23" s="124"/>
      <c r="T23" s="124"/>
      <c r="U23" s="124"/>
      <c r="V23" s="125"/>
      <c r="W23" s="131"/>
      <c r="X23" s="124"/>
      <c r="Y23" s="127"/>
      <c r="Z23" s="128"/>
      <c r="AA23" s="129"/>
      <c r="AB23" s="129"/>
    </row>
    <row r="24" spans="1:28" ht="45" customHeight="1" x14ac:dyDescent="0.2">
      <c r="A24" s="107" t="s">
        <v>69</v>
      </c>
      <c r="C24" s="97" t="s">
        <v>216</v>
      </c>
      <c r="D24" s="567" t="s">
        <v>269</v>
      </c>
      <c r="E24" s="470"/>
      <c r="F24" s="470"/>
      <c r="G24" s="470"/>
      <c r="H24" s="470"/>
      <c r="I24" s="470"/>
      <c r="J24" s="470"/>
      <c r="K24" s="470"/>
      <c r="L24" s="470"/>
      <c r="M24" s="470"/>
      <c r="N24" s="471"/>
      <c r="O24" s="71"/>
      <c r="P24" s="95" t="str">
        <f>IF(O24="","",IF(O24="Yes","Pass",IF(O24="No","Fail","N/A")))</f>
        <v/>
      </c>
      <c r="Q24" s="173"/>
      <c r="R24" s="173"/>
      <c r="S24" s="124"/>
      <c r="T24" s="124"/>
      <c r="U24" s="124"/>
      <c r="V24" s="125"/>
      <c r="W24" s="131"/>
      <c r="X24" s="124"/>
      <c r="Y24" s="127"/>
      <c r="Z24" s="128"/>
      <c r="AA24" s="129"/>
      <c r="AB24" s="129"/>
    </row>
    <row r="25" spans="1:28" ht="45" customHeight="1" x14ac:dyDescent="0.2">
      <c r="A25" s="107" t="s">
        <v>69</v>
      </c>
      <c r="B25" s="93"/>
      <c r="C25" s="97" t="s">
        <v>217</v>
      </c>
      <c r="D25" s="567" t="s">
        <v>270</v>
      </c>
      <c r="E25" s="470"/>
      <c r="F25" s="470"/>
      <c r="G25" s="470"/>
      <c r="H25" s="470"/>
      <c r="I25" s="470"/>
      <c r="J25" s="470"/>
      <c r="K25" s="470"/>
      <c r="L25" s="470"/>
      <c r="M25" s="470"/>
      <c r="N25" s="471"/>
      <c r="O25" s="71"/>
      <c r="P25" s="95" t="str">
        <f>IF(O25="","",IF(O25="Yes","Pass",IF(O25="No","Fail","N/A")))</f>
        <v/>
      </c>
      <c r="Q25" s="173"/>
      <c r="R25" s="173"/>
      <c r="S25" s="124"/>
      <c r="T25" s="124"/>
      <c r="U25" s="124"/>
      <c r="V25" s="125"/>
      <c r="W25" s="131"/>
      <c r="X25" s="124"/>
      <c r="Y25" s="127"/>
      <c r="Z25" s="128"/>
      <c r="AA25" s="129"/>
      <c r="AB25" s="129"/>
    </row>
    <row r="26" spans="1:28" ht="51.75" customHeight="1" x14ac:dyDescent="0.2">
      <c r="A26" s="107" t="s">
        <v>69</v>
      </c>
      <c r="B26" s="93"/>
      <c r="C26" s="97" t="s">
        <v>218</v>
      </c>
      <c r="D26" s="567" t="s">
        <v>271</v>
      </c>
      <c r="E26" s="470"/>
      <c r="F26" s="470"/>
      <c r="G26" s="470"/>
      <c r="H26" s="470"/>
      <c r="I26" s="470"/>
      <c r="J26" s="470"/>
      <c r="K26" s="470"/>
      <c r="L26" s="470"/>
      <c r="M26" s="470"/>
      <c r="N26" s="470"/>
      <c r="O26" s="71"/>
      <c r="P26" s="95" t="str">
        <f>IF(O26="","",IF(O26="Yes","Pass",IF(O26="No","Fail","N/A")))</f>
        <v/>
      </c>
      <c r="Q26" s="173"/>
      <c r="R26" s="173"/>
      <c r="S26" s="124"/>
      <c r="T26" s="124"/>
      <c r="U26" s="124"/>
      <c r="V26" s="125"/>
      <c r="W26" s="131"/>
      <c r="X26" s="124"/>
      <c r="Y26" s="127"/>
      <c r="Z26" s="128"/>
      <c r="AA26" s="129"/>
      <c r="AB26" s="129"/>
    </row>
    <row r="27" spans="1:28" ht="22.5" customHeight="1" x14ac:dyDescent="0.2">
      <c r="A27" s="106">
        <v>1</v>
      </c>
      <c r="B27" s="93"/>
      <c r="C27" s="580" t="s">
        <v>272</v>
      </c>
      <c r="D27" s="470"/>
      <c r="E27" s="470"/>
      <c r="F27" s="470"/>
      <c r="G27" s="470"/>
      <c r="H27" s="470"/>
      <c r="I27" s="470"/>
      <c r="J27" s="470"/>
      <c r="K27" s="470"/>
      <c r="L27" s="470"/>
      <c r="M27" s="470"/>
      <c r="N27" s="470"/>
      <c r="O27" s="341"/>
      <c r="Q27" s="123"/>
      <c r="R27" s="123"/>
      <c r="S27" s="124"/>
      <c r="T27" s="124"/>
      <c r="U27" s="124"/>
      <c r="V27" s="125"/>
      <c r="W27" s="131"/>
      <c r="X27" s="124"/>
      <c r="Y27" s="127"/>
      <c r="Z27" s="128"/>
      <c r="AA27" s="129"/>
      <c r="AB27" s="129"/>
    </row>
    <row r="28" spans="1:28" ht="29.25" customHeight="1" x14ac:dyDescent="0.2">
      <c r="A28" s="107" t="s">
        <v>73</v>
      </c>
      <c r="C28" s="581" t="s">
        <v>17</v>
      </c>
      <c r="D28" s="470"/>
      <c r="E28" s="470"/>
      <c r="F28" s="470"/>
      <c r="G28" s="470"/>
      <c r="H28" s="470"/>
      <c r="I28" s="470"/>
      <c r="J28" s="470"/>
      <c r="K28" s="470"/>
      <c r="L28" s="470"/>
      <c r="M28" s="470"/>
      <c r="N28" s="470"/>
      <c r="O28" s="345"/>
      <c r="P28" s="340"/>
      <c r="Q28" s="123"/>
      <c r="R28" s="123"/>
      <c r="S28" s="124"/>
      <c r="T28" s="124"/>
      <c r="U28" s="124"/>
      <c r="V28" s="125"/>
      <c r="W28" s="131"/>
      <c r="X28" s="133"/>
      <c r="Y28" s="132"/>
      <c r="Z28" s="128"/>
      <c r="AA28" s="129"/>
      <c r="AB28" s="129"/>
    </row>
    <row r="29" spans="1:28" ht="24" customHeight="1" x14ac:dyDescent="0.25">
      <c r="C29" s="100" t="s">
        <v>264</v>
      </c>
      <c r="D29" s="573" t="s">
        <v>465</v>
      </c>
      <c r="E29" s="574"/>
      <c r="F29" s="574"/>
      <c r="G29" s="574"/>
      <c r="H29" s="574"/>
      <c r="I29" s="574"/>
      <c r="J29" s="574"/>
      <c r="K29" s="574"/>
      <c r="L29" s="574"/>
      <c r="M29" s="574"/>
      <c r="N29" s="574"/>
      <c r="O29" s="101" t="s">
        <v>265</v>
      </c>
      <c r="P29" s="101" t="s">
        <v>266</v>
      </c>
      <c r="Q29" s="359"/>
      <c r="R29" s="175"/>
      <c r="S29" s="124"/>
      <c r="T29" s="124"/>
      <c r="U29" s="124"/>
      <c r="V29" s="125"/>
      <c r="W29" s="131"/>
      <c r="X29" s="133"/>
      <c r="Y29" s="132"/>
      <c r="Z29" s="128"/>
      <c r="AA29" s="129"/>
      <c r="AB29" s="129"/>
    </row>
    <row r="30" spans="1:28" ht="66" customHeight="1" x14ac:dyDescent="0.2">
      <c r="A30" s="107" t="s">
        <v>69</v>
      </c>
      <c r="C30" s="102" t="s">
        <v>466</v>
      </c>
      <c r="D30" s="567" t="s">
        <v>467</v>
      </c>
      <c r="E30" s="572"/>
      <c r="F30" s="572"/>
      <c r="G30" s="572"/>
      <c r="H30" s="572"/>
      <c r="I30" s="572"/>
      <c r="J30" s="572"/>
      <c r="K30" s="572"/>
      <c r="L30" s="572"/>
      <c r="M30" s="572"/>
      <c r="N30" s="572"/>
      <c r="O30" s="71"/>
      <c r="P30" s="95" t="str">
        <f t="shared" ref="P30:P31" si="2">IF(O30="","",IF(O30="Yes","Pass",IF(O30="No","Fail","N/A")))</f>
        <v/>
      </c>
      <c r="Q30" s="173"/>
      <c r="R30" s="173"/>
      <c r="S30" s="124"/>
      <c r="T30" s="124"/>
      <c r="U30" s="124"/>
      <c r="V30" s="125"/>
      <c r="W30" s="131"/>
      <c r="X30" s="133"/>
      <c r="Y30" s="132"/>
      <c r="Z30" s="128"/>
      <c r="AA30" s="129"/>
      <c r="AB30" s="129"/>
    </row>
    <row r="31" spans="1:28" ht="33.75" customHeight="1" x14ac:dyDescent="0.2">
      <c r="A31" s="107" t="s">
        <v>73</v>
      </c>
      <c r="B31" s="93"/>
      <c r="C31" s="102" t="s">
        <v>471</v>
      </c>
      <c r="D31" s="579" t="s">
        <v>468</v>
      </c>
      <c r="E31" s="572"/>
      <c r="F31" s="572"/>
      <c r="G31" s="572"/>
      <c r="H31" s="572"/>
      <c r="I31" s="572"/>
      <c r="J31" s="572"/>
      <c r="K31" s="572"/>
      <c r="L31" s="572"/>
      <c r="M31" s="572"/>
      <c r="N31" s="572"/>
      <c r="O31" s="71"/>
      <c r="P31" s="95" t="str">
        <f t="shared" si="2"/>
        <v/>
      </c>
      <c r="Q31" s="173"/>
      <c r="R31" s="173"/>
      <c r="S31" s="124"/>
      <c r="T31" s="124"/>
      <c r="U31" s="124"/>
      <c r="V31" s="125"/>
      <c r="W31" s="131"/>
      <c r="X31" s="133"/>
      <c r="Y31" s="132"/>
      <c r="Z31" s="128"/>
      <c r="AA31" s="129"/>
      <c r="AB31" s="129"/>
    </row>
    <row r="32" spans="1:28" ht="45" customHeight="1" x14ac:dyDescent="0.2">
      <c r="A32" s="107" t="s">
        <v>69</v>
      </c>
      <c r="B32" s="93"/>
      <c r="C32" s="102" t="s">
        <v>472</v>
      </c>
      <c r="D32" s="579" t="s">
        <v>469</v>
      </c>
      <c r="E32" s="572"/>
      <c r="F32" s="572"/>
      <c r="G32" s="572"/>
      <c r="H32" s="572"/>
      <c r="I32" s="572"/>
      <c r="J32" s="572"/>
      <c r="K32" s="572"/>
      <c r="L32" s="572"/>
      <c r="M32" s="572"/>
      <c r="N32" s="572"/>
      <c r="O32" s="71"/>
      <c r="P32" s="95" t="str">
        <f>IF(O32="","",IF(O32="Yes","Pass",IF(O32="No","Fail","N/A")))</f>
        <v/>
      </c>
      <c r="Q32" s="173"/>
      <c r="R32" s="173"/>
      <c r="S32" s="124"/>
      <c r="T32" s="124"/>
      <c r="U32" s="124"/>
      <c r="V32" s="125"/>
      <c r="W32" s="131"/>
      <c r="X32" s="133"/>
      <c r="Y32" s="132"/>
      <c r="Z32" s="128"/>
      <c r="AA32" s="129"/>
      <c r="AB32" s="129"/>
    </row>
    <row r="33" spans="1:28" ht="30" customHeight="1" x14ac:dyDescent="0.2">
      <c r="A33" s="107" t="s">
        <v>70</v>
      </c>
      <c r="B33" s="93"/>
      <c r="C33" s="102" t="s">
        <v>473</v>
      </c>
      <c r="D33" s="579" t="s">
        <v>470</v>
      </c>
      <c r="E33" s="572"/>
      <c r="F33" s="572"/>
      <c r="G33" s="572"/>
      <c r="H33" s="572"/>
      <c r="I33" s="572"/>
      <c r="J33" s="572"/>
      <c r="K33" s="572"/>
      <c r="L33" s="572"/>
      <c r="M33" s="572"/>
      <c r="N33" s="572"/>
      <c r="O33" s="71"/>
      <c r="P33" s="95" t="str">
        <f>IF(O33="","",IF(O33="Yes","Pass",IF(O33="No","Fail","N/A")))</f>
        <v/>
      </c>
      <c r="Q33" s="173"/>
      <c r="R33" s="173"/>
      <c r="S33" s="124"/>
      <c r="T33" s="124"/>
      <c r="U33" s="124"/>
      <c r="V33" s="125"/>
      <c r="W33" s="131"/>
      <c r="X33" s="133"/>
      <c r="Y33" s="132"/>
      <c r="Z33" s="128"/>
      <c r="AA33" s="129"/>
      <c r="AB33" s="129"/>
    </row>
    <row r="34" spans="1:28" ht="24" customHeight="1" x14ac:dyDescent="0.2">
      <c r="A34" s="107" t="s">
        <v>69</v>
      </c>
      <c r="B34" s="93"/>
      <c r="C34" s="580" t="s">
        <v>545</v>
      </c>
      <c r="D34" s="470"/>
      <c r="E34" s="470"/>
      <c r="F34" s="470"/>
      <c r="G34" s="470"/>
      <c r="H34" s="470"/>
      <c r="I34" s="470"/>
      <c r="J34" s="470"/>
      <c r="K34" s="470"/>
      <c r="L34" s="470"/>
      <c r="M34" s="470"/>
      <c r="N34" s="470"/>
      <c r="O34" s="341"/>
      <c r="Q34" s="359"/>
      <c r="S34" s="124"/>
      <c r="T34" s="124"/>
      <c r="U34" s="124"/>
      <c r="V34" s="125"/>
      <c r="W34" s="131"/>
      <c r="X34" s="133"/>
      <c r="Y34" s="132"/>
      <c r="Z34" s="128"/>
      <c r="AA34" s="129"/>
      <c r="AB34" s="129"/>
    </row>
    <row r="35" spans="1:28" ht="27.75" customHeight="1" x14ac:dyDescent="0.2">
      <c r="A35" s="107" t="s">
        <v>69</v>
      </c>
      <c r="B35" s="93"/>
      <c r="C35" s="581" t="s">
        <v>17</v>
      </c>
      <c r="D35" s="470"/>
      <c r="E35" s="470"/>
      <c r="F35" s="470"/>
      <c r="G35" s="470"/>
      <c r="H35" s="470"/>
      <c r="I35" s="470"/>
      <c r="J35" s="470"/>
      <c r="K35" s="470"/>
      <c r="L35" s="470"/>
      <c r="M35" s="470"/>
      <c r="N35" s="470"/>
      <c r="O35" s="345"/>
      <c r="Q35" s="173"/>
      <c r="R35"/>
      <c r="U35"/>
      <c r="V35"/>
      <c r="W35"/>
      <c r="X35"/>
      <c r="Y35"/>
      <c r="Z35"/>
      <c r="AA35"/>
      <c r="AB35"/>
    </row>
    <row r="36" spans="1:28" ht="24.75" customHeight="1" x14ac:dyDescent="0.25">
      <c r="A36" s="107" t="s">
        <v>70</v>
      </c>
      <c r="B36" s="93"/>
      <c r="C36" s="100" t="s">
        <v>264</v>
      </c>
      <c r="D36" s="573" t="s">
        <v>72</v>
      </c>
      <c r="E36" s="574"/>
      <c r="F36" s="574"/>
      <c r="G36" s="574"/>
      <c r="H36" s="574"/>
      <c r="I36" s="574"/>
      <c r="J36" s="574"/>
      <c r="K36" s="574"/>
      <c r="L36" s="574"/>
      <c r="M36" s="574"/>
      <c r="N36" s="440"/>
      <c r="O36" s="101" t="s">
        <v>265</v>
      </c>
      <c r="P36" s="101" t="s">
        <v>266</v>
      </c>
      <c r="Q36" s="173"/>
      <c r="R36"/>
      <c r="U36"/>
      <c r="V36"/>
      <c r="W36"/>
      <c r="X36"/>
      <c r="Y36"/>
      <c r="Z36"/>
      <c r="AA36"/>
      <c r="AB36"/>
    </row>
    <row r="37" spans="1:28" ht="31.5" customHeight="1" x14ac:dyDescent="0.2">
      <c r="A37" s="107" t="s">
        <v>73</v>
      </c>
      <c r="B37" s="93"/>
      <c r="C37" s="103" t="s">
        <v>220</v>
      </c>
      <c r="D37" s="445" t="s">
        <v>544</v>
      </c>
      <c r="E37" s="568"/>
      <c r="F37" s="568"/>
      <c r="G37" s="568"/>
      <c r="H37" s="568"/>
      <c r="I37" s="568"/>
      <c r="J37" s="568"/>
      <c r="K37" s="568"/>
      <c r="L37" s="568"/>
      <c r="M37" s="568"/>
      <c r="N37" s="569"/>
      <c r="O37" s="71"/>
      <c r="P37" s="95" t="str">
        <f>IF(O37="","",IF(O37="Yes","Pass",IF(O37="No","Fail","N/A")))</f>
        <v/>
      </c>
      <c r="Q37" s="173"/>
      <c r="R37"/>
      <c r="U37"/>
      <c r="V37"/>
      <c r="W37"/>
      <c r="X37"/>
      <c r="Y37"/>
      <c r="Z37"/>
      <c r="AA37"/>
      <c r="AB37"/>
    </row>
    <row r="38" spans="1:28" ht="30" customHeight="1" x14ac:dyDescent="0.2">
      <c r="A38" s="107" t="s">
        <v>70</v>
      </c>
      <c r="B38" s="93"/>
      <c r="C38" s="185"/>
      <c r="D38" s="296" t="s">
        <v>351</v>
      </c>
      <c r="E38" s="297"/>
      <c r="F38" s="298"/>
      <c r="G38" s="299"/>
      <c r="I38" s="300" t="s">
        <v>352</v>
      </c>
      <c r="J38" s="299"/>
      <c r="K38" s="301" t="s">
        <v>353</v>
      </c>
      <c r="L38" s="191"/>
      <c r="M38" s="302"/>
      <c r="N38" s="303" t="e">
        <f>J38/G38</f>
        <v>#DIV/0!</v>
      </c>
      <c r="Q38" s="173"/>
      <c r="R38"/>
      <c r="U38"/>
      <c r="V38"/>
      <c r="W38"/>
      <c r="X38"/>
      <c r="Y38"/>
      <c r="Z38"/>
      <c r="AA38"/>
      <c r="AB38"/>
    </row>
    <row r="39" spans="1:28" ht="38.25" customHeight="1" x14ac:dyDescent="0.2">
      <c r="A39" s="107" t="s">
        <v>73</v>
      </c>
      <c r="B39" s="93"/>
      <c r="C39" s="97" t="s">
        <v>133</v>
      </c>
      <c r="D39" s="579" t="s">
        <v>645</v>
      </c>
      <c r="E39" s="572"/>
      <c r="F39" s="572"/>
      <c r="G39" s="572"/>
      <c r="H39" s="572"/>
      <c r="I39" s="572"/>
      <c r="J39" s="572"/>
      <c r="K39" s="572"/>
      <c r="L39" s="572"/>
      <c r="M39" s="572"/>
      <c r="N39" s="572"/>
      <c r="O39" s="71"/>
      <c r="P39" s="95" t="str">
        <f t="shared" ref="P39:P49" si="3">IF(O39="","",IF(O39="Yes","Pass",IF(O39="No","Fail","N/A")))</f>
        <v/>
      </c>
      <c r="Q39" s="173"/>
      <c r="R39"/>
      <c r="U39"/>
      <c r="V39"/>
      <c r="W39"/>
      <c r="X39"/>
      <c r="Y39"/>
      <c r="Z39"/>
      <c r="AA39"/>
      <c r="AB39"/>
    </row>
    <row r="40" spans="1:28" ht="30" customHeight="1" x14ac:dyDescent="0.2">
      <c r="A40" s="107" t="s">
        <v>70</v>
      </c>
      <c r="B40" s="93"/>
      <c r="C40" s="97" t="s">
        <v>221</v>
      </c>
      <c r="D40" s="579" t="s">
        <v>536</v>
      </c>
      <c r="E40" s="470"/>
      <c r="F40" s="470"/>
      <c r="G40" s="470"/>
      <c r="H40" s="470"/>
      <c r="I40" s="470"/>
      <c r="J40" s="470"/>
      <c r="K40" s="470"/>
      <c r="L40" s="470"/>
      <c r="M40" s="470"/>
      <c r="N40" s="470"/>
      <c r="O40" s="71"/>
      <c r="P40" s="95" t="str">
        <f t="shared" si="3"/>
        <v/>
      </c>
      <c r="Q40" s="173"/>
      <c r="R40"/>
      <c r="U40"/>
      <c r="V40"/>
      <c r="W40"/>
      <c r="X40"/>
      <c r="Y40"/>
      <c r="Z40"/>
      <c r="AA40"/>
      <c r="AB40"/>
    </row>
    <row r="41" spans="1:28" ht="41.25" customHeight="1" x14ac:dyDescent="0.2">
      <c r="A41" s="107">
        <v>1</v>
      </c>
      <c r="B41" s="93"/>
      <c r="C41" s="103" t="s">
        <v>222</v>
      </c>
      <c r="D41" s="445" t="s">
        <v>537</v>
      </c>
      <c r="E41" s="568"/>
      <c r="F41" s="568"/>
      <c r="G41" s="568"/>
      <c r="H41" s="568"/>
      <c r="I41" s="568"/>
      <c r="J41" s="568"/>
      <c r="K41" s="568"/>
      <c r="L41" s="568"/>
      <c r="M41" s="568"/>
      <c r="N41" s="569"/>
      <c r="O41" s="71"/>
      <c r="P41" s="95" t="str">
        <f t="shared" si="3"/>
        <v/>
      </c>
      <c r="Q41" s="173"/>
      <c r="R41"/>
      <c r="U41"/>
      <c r="V41"/>
      <c r="W41"/>
      <c r="X41"/>
      <c r="Y41"/>
      <c r="Z41"/>
      <c r="AA41"/>
      <c r="AB41"/>
    </row>
    <row r="42" spans="1:28" ht="34.5" customHeight="1" x14ac:dyDescent="0.2">
      <c r="A42" s="107"/>
      <c r="B42" s="93"/>
      <c r="C42" s="97" t="s">
        <v>223</v>
      </c>
      <c r="D42" s="445" t="s">
        <v>538</v>
      </c>
      <c r="E42" s="568"/>
      <c r="F42" s="568"/>
      <c r="G42" s="568"/>
      <c r="H42" s="568"/>
      <c r="I42" s="568"/>
      <c r="J42" s="568"/>
      <c r="K42" s="568"/>
      <c r="L42" s="568"/>
      <c r="M42" s="568"/>
      <c r="N42" s="569"/>
      <c r="O42" s="71"/>
      <c r="P42" s="95" t="str">
        <f t="shared" si="3"/>
        <v/>
      </c>
      <c r="Q42" s="173"/>
      <c r="R42"/>
      <c r="U42"/>
      <c r="V42"/>
      <c r="W42"/>
      <c r="X42"/>
      <c r="Y42"/>
      <c r="Z42"/>
      <c r="AA42"/>
      <c r="AB42"/>
    </row>
    <row r="43" spans="1:28" ht="33" customHeight="1" x14ac:dyDescent="0.2">
      <c r="A43" s="106">
        <v>1</v>
      </c>
      <c r="B43" s="93"/>
      <c r="C43" s="97" t="s">
        <v>224</v>
      </c>
      <c r="D43" s="445" t="s">
        <v>273</v>
      </c>
      <c r="E43" s="568"/>
      <c r="F43" s="568"/>
      <c r="G43" s="568"/>
      <c r="H43" s="568"/>
      <c r="I43" s="568"/>
      <c r="J43" s="568"/>
      <c r="K43" s="568"/>
      <c r="L43" s="568"/>
      <c r="M43" s="568"/>
      <c r="N43" s="569"/>
      <c r="O43" s="71"/>
      <c r="P43" s="95" t="str">
        <f t="shared" si="3"/>
        <v/>
      </c>
      <c r="Q43" s="173"/>
      <c r="R43"/>
      <c r="U43"/>
      <c r="V43"/>
      <c r="W43"/>
      <c r="X43"/>
      <c r="Y43"/>
      <c r="Z43"/>
      <c r="AA43"/>
      <c r="AB43"/>
    </row>
    <row r="44" spans="1:28" ht="35.25" customHeight="1" x14ac:dyDescent="0.2">
      <c r="A44" s="107" t="s">
        <v>73</v>
      </c>
      <c r="C44" s="103" t="s">
        <v>225</v>
      </c>
      <c r="D44" s="567" t="s">
        <v>274</v>
      </c>
      <c r="E44" s="470"/>
      <c r="F44" s="470"/>
      <c r="G44" s="470"/>
      <c r="H44" s="470"/>
      <c r="I44" s="470"/>
      <c r="J44" s="470"/>
      <c r="K44" s="470"/>
      <c r="L44" s="470"/>
      <c r="M44" s="470"/>
      <c r="N44" s="470"/>
      <c r="O44" s="71"/>
      <c r="P44" s="95" t="str">
        <f t="shared" si="3"/>
        <v/>
      </c>
      <c r="Q44" s="173"/>
      <c r="R44"/>
      <c r="U44"/>
      <c r="V44"/>
      <c r="W44"/>
      <c r="X44"/>
      <c r="Y44"/>
      <c r="Z44"/>
      <c r="AA44"/>
      <c r="AB44"/>
    </row>
    <row r="45" spans="1:28" ht="35.25" customHeight="1" x14ac:dyDescent="0.2">
      <c r="B45" s="93"/>
      <c r="C45" s="97" t="s">
        <v>226</v>
      </c>
      <c r="D45" s="445" t="s">
        <v>275</v>
      </c>
      <c r="E45" s="568"/>
      <c r="F45" s="568"/>
      <c r="G45" s="568"/>
      <c r="H45" s="568"/>
      <c r="I45" s="568"/>
      <c r="J45" s="568"/>
      <c r="K45" s="568"/>
      <c r="L45" s="568"/>
      <c r="M45" s="568"/>
      <c r="N45" s="569"/>
      <c r="O45" s="71"/>
      <c r="P45" s="95" t="str">
        <f t="shared" si="3"/>
        <v/>
      </c>
      <c r="Q45" s="173"/>
      <c r="R45"/>
      <c r="U45"/>
      <c r="V45"/>
      <c r="W45"/>
      <c r="X45"/>
      <c r="Y45"/>
      <c r="Z45"/>
      <c r="AA45"/>
      <c r="AB45"/>
    </row>
    <row r="46" spans="1:28" ht="18" customHeight="1" x14ac:dyDescent="0.2">
      <c r="C46" s="97" t="s">
        <v>227</v>
      </c>
      <c r="D46" s="445" t="s">
        <v>276</v>
      </c>
      <c r="E46" s="570"/>
      <c r="F46" s="570"/>
      <c r="G46" s="570"/>
      <c r="H46" s="570"/>
      <c r="I46" s="570"/>
      <c r="J46" s="570"/>
      <c r="K46" s="570"/>
      <c r="L46" s="570"/>
      <c r="M46" s="570"/>
      <c r="N46" s="570"/>
      <c r="O46" s="71"/>
      <c r="P46" s="95" t="str">
        <f t="shared" si="3"/>
        <v/>
      </c>
      <c r="Q46" s="173"/>
      <c r="R46"/>
      <c r="U46"/>
      <c r="V46"/>
      <c r="W46"/>
      <c r="X46"/>
      <c r="Y46"/>
      <c r="Z46"/>
      <c r="AA46"/>
      <c r="AB46"/>
    </row>
    <row r="47" spans="1:28" ht="35.25" customHeight="1" x14ac:dyDescent="0.2">
      <c r="A47" s="106">
        <v>1</v>
      </c>
      <c r="C47" s="103" t="s">
        <v>228</v>
      </c>
      <c r="D47" s="445" t="s">
        <v>277</v>
      </c>
      <c r="E47" s="568"/>
      <c r="F47" s="568"/>
      <c r="G47" s="568"/>
      <c r="H47" s="568"/>
      <c r="I47" s="568"/>
      <c r="J47" s="568"/>
      <c r="K47" s="568"/>
      <c r="L47" s="568"/>
      <c r="M47" s="568"/>
      <c r="N47" s="569"/>
      <c r="O47" s="71"/>
      <c r="P47" s="95" t="str">
        <f t="shared" si="3"/>
        <v/>
      </c>
      <c r="R47"/>
      <c r="U47"/>
      <c r="V47"/>
      <c r="W47"/>
      <c r="X47"/>
      <c r="Y47"/>
      <c r="Z47"/>
      <c r="AA47"/>
      <c r="AB47"/>
    </row>
    <row r="48" spans="1:28" ht="57.75" customHeight="1" x14ac:dyDescent="0.2">
      <c r="A48" s="107" t="s">
        <v>69</v>
      </c>
      <c r="C48" s="97" t="s">
        <v>229</v>
      </c>
      <c r="D48" s="565" t="s">
        <v>539</v>
      </c>
      <c r="E48" s="566"/>
      <c r="F48" s="566"/>
      <c r="G48" s="566"/>
      <c r="H48" s="566"/>
      <c r="I48" s="566"/>
      <c r="J48" s="566"/>
      <c r="K48" s="566"/>
      <c r="L48" s="566"/>
      <c r="M48" s="566"/>
      <c r="N48" s="566"/>
      <c r="O48" s="71"/>
      <c r="P48" s="95" t="str">
        <f t="shared" si="3"/>
        <v/>
      </c>
      <c r="Q48" s="171"/>
      <c r="R48"/>
      <c r="U48"/>
      <c r="V48"/>
      <c r="W48"/>
      <c r="X48"/>
      <c r="Y48"/>
      <c r="Z48"/>
      <c r="AA48"/>
      <c r="AB48"/>
    </row>
    <row r="49" spans="1:28" ht="39" customHeight="1" x14ac:dyDescent="0.2">
      <c r="A49" s="106">
        <v>1</v>
      </c>
      <c r="B49" s="93"/>
      <c r="C49" s="97" t="s">
        <v>230</v>
      </c>
      <c r="D49" s="567" t="s">
        <v>540</v>
      </c>
      <c r="E49" s="470"/>
      <c r="F49" s="470"/>
      <c r="G49" s="470"/>
      <c r="H49" s="470"/>
      <c r="I49" s="470"/>
      <c r="J49" s="470"/>
      <c r="K49" s="470"/>
      <c r="L49" s="470"/>
      <c r="M49" s="470"/>
      <c r="N49" s="471"/>
      <c r="O49" s="71"/>
      <c r="P49" s="95" t="str">
        <f t="shared" si="3"/>
        <v/>
      </c>
      <c r="Q49" s="123"/>
      <c r="R49"/>
      <c r="U49"/>
      <c r="V49"/>
      <c r="W49"/>
      <c r="X49"/>
      <c r="Y49"/>
      <c r="Z49"/>
      <c r="AA49"/>
      <c r="AB49"/>
    </row>
    <row r="50" spans="1:28" ht="19.5" customHeight="1" x14ac:dyDescent="0.2">
      <c r="A50" s="107" t="s">
        <v>73</v>
      </c>
      <c r="C50" s="580" t="s">
        <v>278</v>
      </c>
      <c r="D50" s="470"/>
      <c r="E50" s="470"/>
      <c r="F50" s="470"/>
      <c r="G50" s="470"/>
      <c r="H50" s="470"/>
      <c r="I50" s="470"/>
      <c r="J50" s="470"/>
      <c r="K50" s="470"/>
      <c r="L50" s="470"/>
      <c r="M50" s="470"/>
      <c r="N50" s="470"/>
      <c r="O50" s="347"/>
      <c r="P50" s="344"/>
      <c r="Q50" s="99"/>
      <c r="R50"/>
      <c r="U50"/>
      <c r="V50"/>
      <c r="W50"/>
      <c r="X50"/>
      <c r="Y50"/>
      <c r="Z50"/>
      <c r="AA50"/>
      <c r="AB50"/>
    </row>
    <row r="51" spans="1:28" ht="25.5" customHeight="1" x14ac:dyDescent="0.2">
      <c r="A51" s="107" t="s">
        <v>69</v>
      </c>
      <c r="B51" s="93"/>
      <c r="C51" s="581" t="s">
        <v>17</v>
      </c>
      <c r="D51" s="470"/>
      <c r="E51" s="470"/>
      <c r="F51" s="470"/>
      <c r="G51" s="470"/>
      <c r="H51" s="470"/>
      <c r="I51" s="470"/>
      <c r="J51" s="470"/>
      <c r="K51" s="470"/>
      <c r="L51" s="470"/>
      <c r="M51" s="470"/>
      <c r="N51" s="470"/>
      <c r="O51" s="345"/>
      <c r="Q51" s="359"/>
      <c r="R51"/>
      <c r="U51"/>
      <c r="V51"/>
      <c r="W51"/>
      <c r="X51"/>
      <c r="Y51"/>
      <c r="Z51"/>
      <c r="AA51"/>
      <c r="AB51"/>
    </row>
    <row r="52" spans="1:28" ht="21.75" customHeight="1" x14ac:dyDescent="0.25">
      <c r="A52" s="106">
        <v>1</v>
      </c>
      <c r="B52" s="93"/>
      <c r="C52" s="100" t="s">
        <v>264</v>
      </c>
      <c r="D52" s="576" t="s">
        <v>74</v>
      </c>
      <c r="E52" s="577"/>
      <c r="F52" s="577"/>
      <c r="G52" s="577"/>
      <c r="H52" s="577"/>
      <c r="I52" s="577"/>
      <c r="J52" s="577"/>
      <c r="K52" s="577"/>
      <c r="L52" s="577"/>
      <c r="M52" s="577"/>
      <c r="N52" s="578"/>
      <c r="O52" s="101" t="s">
        <v>265</v>
      </c>
      <c r="P52" s="101" t="s">
        <v>266</v>
      </c>
      <c r="Q52" s="173"/>
      <c r="R52"/>
      <c r="U52"/>
      <c r="V52"/>
      <c r="W52"/>
      <c r="X52"/>
      <c r="Y52"/>
      <c r="Z52"/>
      <c r="AA52"/>
      <c r="AB52"/>
    </row>
    <row r="53" spans="1:28" ht="34.5" customHeight="1" x14ac:dyDescent="0.2">
      <c r="A53" s="106">
        <v>1</v>
      </c>
      <c r="C53" s="94" t="s">
        <v>232</v>
      </c>
      <c r="D53" s="601" t="s">
        <v>279</v>
      </c>
      <c r="E53" s="595"/>
      <c r="F53" s="595"/>
      <c r="G53" s="595"/>
      <c r="H53" s="595"/>
      <c r="I53" s="595"/>
      <c r="J53" s="595"/>
      <c r="K53" s="595"/>
      <c r="L53" s="595"/>
      <c r="M53" s="595"/>
      <c r="N53" s="595"/>
      <c r="O53" s="71"/>
      <c r="P53" s="95" t="str">
        <f t="shared" ref="P53:P60" si="4">IF(O53="","",IF(O53="Yes","Pass",IF(O53="No","Fail","N/A")))</f>
        <v/>
      </c>
      <c r="Q53" s="173"/>
      <c r="R53"/>
      <c r="U53"/>
      <c r="V53"/>
      <c r="W53"/>
      <c r="X53"/>
      <c r="Y53"/>
      <c r="Z53"/>
      <c r="AA53"/>
      <c r="AB53"/>
    </row>
    <row r="54" spans="1:28" ht="60.75" customHeight="1" x14ac:dyDescent="0.2">
      <c r="A54" s="106">
        <v>1</v>
      </c>
      <c r="C54" s="94" t="s">
        <v>233</v>
      </c>
      <c r="D54" s="601" t="s">
        <v>457</v>
      </c>
      <c r="E54" s="605"/>
      <c r="F54" s="605"/>
      <c r="G54" s="605"/>
      <c r="H54" s="605"/>
      <c r="I54" s="605"/>
      <c r="J54" s="605"/>
      <c r="K54" s="605"/>
      <c r="L54" s="605"/>
      <c r="M54" s="605"/>
      <c r="N54" s="606"/>
      <c r="O54" s="71"/>
      <c r="P54" s="95" t="str">
        <f t="shared" si="4"/>
        <v/>
      </c>
      <c r="Q54" s="173"/>
      <c r="R54"/>
      <c r="U54"/>
      <c r="V54"/>
      <c r="W54"/>
      <c r="X54"/>
      <c r="Y54"/>
      <c r="Z54"/>
      <c r="AA54"/>
      <c r="AB54"/>
    </row>
    <row r="55" spans="1:28" ht="38.25" customHeight="1" x14ac:dyDescent="0.2">
      <c r="A55" s="106">
        <v>1</v>
      </c>
      <c r="B55" s="107" t="s">
        <v>70</v>
      </c>
      <c r="C55" s="94" t="s">
        <v>458</v>
      </c>
      <c r="D55" s="602" t="s">
        <v>454</v>
      </c>
      <c r="E55" s="603"/>
      <c r="F55" s="603"/>
      <c r="G55" s="603"/>
      <c r="H55" s="603"/>
      <c r="I55" s="603"/>
      <c r="J55" s="603"/>
      <c r="K55" s="603"/>
      <c r="L55" s="603"/>
      <c r="M55" s="603"/>
      <c r="N55" s="604"/>
      <c r="O55" s="71"/>
      <c r="P55" s="95" t="str">
        <f t="shared" si="4"/>
        <v/>
      </c>
      <c r="Q55" s="173"/>
      <c r="R55"/>
      <c r="U55"/>
      <c r="V55"/>
      <c r="W55"/>
      <c r="X55"/>
      <c r="Y55"/>
      <c r="Z55"/>
      <c r="AA55"/>
      <c r="AB55"/>
    </row>
    <row r="56" spans="1:28" ht="68.25" customHeight="1" x14ac:dyDescent="0.2">
      <c r="A56" s="107" t="s">
        <v>73</v>
      </c>
      <c r="C56" s="94" t="s">
        <v>234</v>
      </c>
      <c r="D56" s="594" t="s">
        <v>541</v>
      </c>
      <c r="E56" s="595"/>
      <c r="F56" s="595"/>
      <c r="G56" s="595"/>
      <c r="H56" s="595"/>
      <c r="I56" s="595"/>
      <c r="J56" s="595"/>
      <c r="K56" s="595"/>
      <c r="L56" s="595"/>
      <c r="M56" s="595"/>
      <c r="N56" s="596"/>
      <c r="O56" s="71"/>
      <c r="P56" s="95" t="str">
        <f t="shared" si="4"/>
        <v/>
      </c>
      <c r="Q56" s="173"/>
      <c r="R56"/>
      <c r="U56"/>
      <c r="V56"/>
      <c r="W56"/>
      <c r="X56"/>
      <c r="Y56"/>
      <c r="Z56"/>
      <c r="AA56"/>
      <c r="AB56"/>
    </row>
    <row r="57" spans="1:28" ht="31.5" customHeight="1" x14ac:dyDescent="0.2">
      <c r="B57" s="93"/>
      <c r="C57" s="94" t="s">
        <v>235</v>
      </c>
      <c r="D57" s="602" t="s">
        <v>459</v>
      </c>
      <c r="E57" s="603"/>
      <c r="F57" s="603"/>
      <c r="G57" s="603"/>
      <c r="H57" s="603"/>
      <c r="I57" s="603"/>
      <c r="J57" s="603"/>
      <c r="K57" s="603"/>
      <c r="L57" s="603"/>
      <c r="M57" s="603"/>
      <c r="N57" s="604"/>
      <c r="O57" s="71"/>
      <c r="P57" s="95" t="str">
        <f t="shared" si="4"/>
        <v/>
      </c>
      <c r="Q57" s="173"/>
      <c r="R57"/>
      <c r="U57"/>
      <c r="V57"/>
      <c r="W57"/>
      <c r="X57"/>
      <c r="Y57"/>
      <c r="Z57"/>
      <c r="AA57"/>
      <c r="AB57"/>
    </row>
    <row r="58" spans="1:28" ht="40.5" customHeight="1" x14ac:dyDescent="0.2">
      <c r="C58" s="104" t="s">
        <v>460</v>
      </c>
      <c r="D58" s="597" t="s">
        <v>455</v>
      </c>
      <c r="E58" s="595"/>
      <c r="F58" s="595"/>
      <c r="G58" s="595"/>
      <c r="H58" s="595"/>
      <c r="I58" s="595"/>
      <c r="J58" s="595"/>
      <c r="K58" s="595"/>
      <c r="L58" s="595"/>
      <c r="M58" s="595"/>
      <c r="N58" s="596"/>
      <c r="O58" s="71"/>
      <c r="P58" s="95" t="str">
        <f t="shared" si="4"/>
        <v/>
      </c>
      <c r="Q58" s="173"/>
      <c r="R58"/>
      <c r="U58"/>
      <c r="V58"/>
      <c r="W58"/>
      <c r="X58"/>
      <c r="Y58"/>
      <c r="Z58"/>
      <c r="AA58"/>
      <c r="AB58"/>
    </row>
    <row r="59" spans="1:28" ht="30" customHeight="1" x14ac:dyDescent="0.2">
      <c r="A59" s="107" t="s">
        <v>70</v>
      </c>
      <c r="C59" s="104" t="s">
        <v>236</v>
      </c>
      <c r="D59" s="598" t="s">
        <v>456</v>
      </c>
      <c r="E59" s="599"/>
      <c r="F59" s="599"/>
      <c r="G59" s="599"/>
      <c r="H59" s="599"/>
      <c r="I59" s="599"/>
      <c r="J59" s="599"/>
      <c r="K59" s="599"/>
      <c r="L59" s="599"/>
      <c r="M59" s="599"/>
      <c r="N59" s="600"/>
      <c r="O59" s="71"/>
      <c r="P59" s="95" t="str">
        <f t="shared" si="4"/>
        <v/>
      </c>
      <c r="Q59" s="173"/>
      <c r="R59"/>
      <c r="U59"/>
      <c r="V59"/>
      <c r="W59"/>
      <c r="X59"/>
      <c r="Y59"/>
      <c r="Z59"/>
      <c r="AA59"/>
      <c r="AB59"/>
    </row>
    <row r="60" spans="1:28" ht="30" customHeight="1" x14ac:dyDescent="0.2">
      <c r="A60" s="107" t="s">
        <v>70</v>
      </c>
      <c r="B60" s="93"/>
      <c r="C60" s="104" t="s">
        <v>237</v>
      </c>
      <c r="D60" s="598" t="s">
        <v>280</v>
      </c>
      <c r="E60" s="599"/>
      <c r="F60" s="599"/>
      <c r="G60" s="599"/>
      <c r="H60" s="599"/>
      <c r="I60" s="599"/>
      <c r="J60" s="599"/>
      <c r="K60" s="599"/>
      <c r="L60" s="599"/>
      <c r="M60" s="599"/>
      <c r="N60" s="600"/>
      <c r="O60" s="71"/>
      <c r="P60" s="95" t="str">
        <f t="shared" si="4"/>
        <v/>
      </c>
      <c r="Q60" s="171"/>
      <c r="R60"/>
      <c r="U60"/>
      <c r="V60"/>
      <c r="W60"/>
      <c r="X60"/>
      <c r="Y60"/>
      <c r="Z60"/>
      <c r="AA60"/>
      <c r="AB60"/>
    </row>
    <row r="61" spans="1:28" ht="22.5" customHeight="1" x14ac:dyDescent="0.2">
      <c r="A61" s="107" t="s">
        <v>69</v>
      </c>
      <c r="B61" s="107" t="s">
        <v>69</v>
      </c>
      <c r="C61" s="580" t="s">
        <v>281</v>
      </c>
      <c r="D61" s="470"/>
      <c r="E61" s="470"/>
      <c r="F61" s="470"/>
      <c r="G61" s="470"/>
      <c r="H61" s="470"/>
      <c r="I61" s="470"/>
      <c r="J61" s="470"/>
      <c r="K61" s="470"/>
      <c r="L61" s="470"/>
      <c r="M61" s="470"/>
      <c r="N61" s="470"/>
      <c r="O61" s="347"/>
      <c r="P61" s="345"/>
      <c r="Q61" s="172"/>
      <c r="R61"/>
      <c r="U61"/>
      <c r="V61"/>
      <c r="W61"/>
      <c r="X61"/>
      <c r="Y61"/>
      <c r="Z61"/>
      <c r="AA61"/>
      <c r="AB61"/>
    </row>
    <row r="62" spans="1:28" ht="28.5" customHeight="1" x14ac:dyDescent="0.2">
      <c r="A62" s="107"/>
      <c r="B62" s="147"/>
      <c r="C62" s="581" t="s">
        <v>17</v>
      </c>
      <c r="D62" s="470"/>
      <c r="E62" s="470"/>
      <c r="F62" s="470"/>
      <c r="G62" s="470"/>
      <c r="H62" s="470"/>
      <c r="I62" s="470"/>
      <c r="J62" s="470"/>
      <c r="K62" s="470"/>
      <c r="L62" s="470"/>
      <c r="M62" s="470"/>
      <c r="N62" s="470"/>
      <c r="O62" s="345"/>
      <c r="Q62" s="171"/>
      <c r="R62"/>
      <c r="U62"/>
      <c r="V62"/>
      <c r="W62"/>
      <c r="X62"/>
      <c r="Y62"/>
      <c r="Z62"/>
      <c r="AA62"/>
      <c r="AB62"/>
    </row>
    <row r="63" spans="1:28" ht="30" customHeight="1" x14ac:dyDescent="0.25">
      <c r="A63" s="107" t="s">
        <v>70</v>
      </c>
      <c r="B63" s="93"/>
      <c r="C63" s="100" t="s">
        <v>264</v>
      </c>
      <c r="D63" s="573" t="s">
        <v>75</v>
      </c>
      <c r="E63" s="574"/>
      <c r="F63" s="574"/>
      <c r="G63" s="574"/>
      <c r="H63" s="574"/>
      <c r="I63" s="574"/>
      <c r="J63" s="574"/>
      <c r="K63" s="574"/>
      <c r="L63" s="574"/>
      <c r="M63" s="574"/>
      <c r="N63" s="440"/>
      <c r="O63" s="101" t="s">
        <v>265</v>
      </c>
      <c r="P63" s="101" t="s">
        <v>266</v>
      </c>
      <c r="Q63" s="359"/>
      <c r="R63"/>
      <c r="U63"/>
      <c r="V63"/>
      <c r="W63"/>
      <c r="X63"/>
      <c r="Y63"/>
      <c r="Z63"/>
      <c r="AA63"/>
      <c r="AB63"/>
    </row>
    <row r="64" spans="1:28" ht="30" customHeight="1" x14ac:dyDescent="0.2">
      <c r="A64" s="107" t="s">
        <v>70</v>
      </c>
      <c r="B64" s="93"/>
      <c r="C64" s="94" t="s">
        <v>239</v>
      </c>
      <c r="D64" s="567" t="s">
        <v>461</v>
      </c>
      <c r="E64" s="470"/>
      <c r="F64" s="470"/>
      <c r="G64" s="470"/>
      <c r="H64" s="470"/>
      <c r="I64" s="470"/>
      <c r="J64" s="470"/>
      <c r="K64" s="470"/>
      <c r="L64" s="470"/>
      <c r="M64" s="470"/>
      <c r="N64" s="471"/>
      <c r="O64" s="71"/>
      <c r="P64" s="95" t="str">
        <f t="shared" ref="P64:P69" si="5">IF(O64="","",IF(O64="Yes","Pass",IF(O64="No","Fail","N/A")))</f>
        <v/>
      </c>
      <c r="Q64" s="173"/>
      <c r="R64"/>
      <c r="U64"/>
      <c r="V64"/>
      <c r="W64"/>
      <c r="X64"/>
      <c r="Y64"/>
      <c r="Z64"/>
      <c r="AA64"/>
      <c r="AB64"/>
    </row>
    <row r="65" spans="1:28" ht="33.75" customHeight="1" x14ac:dyDescent="0.2">
      <c r="A65" s="107" t="s">
        <v>76</v>
      </c>
      <c r="B65" s="93"/>
      <c r="C65" s="94" t="s">
        <v>240</v>
      </c>
      <c r="D65" s="567" t="s">
        <v>282</v>
      </c>
      <c r="E65" s="470"/>
      <c r="F65" s="470"/>
      <c r="G65" s="470"/>
      <c r="H65" s="470"/>
      <c r="I65" s="470"/>
      <c r="J65" s="470"/>
      <c r="K65" s="470"/>
      <c r="L65" s="470"/>
      <c r="M65" s="470"/>
      <c r="N65" s="471"/>
      <c r="O65" s="71"/>
      <c r="P65" s="95" t="str">
        <f t="shared" si="5"/>
        <v/>
      </c>
      <c r="Q65" s="173"/>
      <c r="R65"/>
      <c r="U65"/>
      <c r="V65"/>
      <c r="W65"/>
      <c r="X65"/>
      <c r="Y65"/>
      <c r="Z65"/>
      <c r="AA65"/>
      <c r="AB65"/>
    </row>
    <row r="66" spans="1:28" ht="49.5" customHeight="1" x14ac:dyDescent="0.2">
      <c r="A66" s="106">
        <v>1</v>
      </c>
      <c r="B66" s="93"/>
      <c r="C66" s="94" t="s">
        <v>241</v>
      </c>
      <c r="D66" s="567" t="s">
        <v>462</v>
      </c>
      <c r="E66" s="470"/>
      <c r="F66" s="470"/>
      <c r="G66" s="470"/>
      <c r="H66" s="470"/>
      <c r="I66" s="470"/>
      <c r="J66" s="470"/>
      <c r="K66" s="470"/>
      <c r="L66" s="470"/>
      <c r="M66" s="470"/>
      <c r="N66" s="471"/>
      <c r="O66" s="71"/>
      <c r="P66" s="95" t="str">
        <f t="shared" si="5"/>
        <v/>
      </c>
      <c r="Q66" s="173"/>
      <c r="R66"/>
      <c r="U66"/>
      <c r="V66"/>
      <c r="W66"/>
      <c r="X66"/>
      <c r="Y66"/>
      <c r="Z66"/>
      <c r="AA66"/>
      <c r="AB66"/>
    </row>
    <row r="67" spans="1:28" ht="35.25" customHeight="1" x14ac:dyDescent="0.2">
      <c r="A67" s="107" t="s">
        <v>73</v>
      </c>
      <c r="C67" s="148" t="s">
        <v>542</v>
      </c>
      <c r="D67" s="593" t="s">
        <v>464</v>
      </c>
      <c r="E67" s="470"/>
      <c r="F67" s="470"/>
      <c r="G67" s="470"/>
      <c r="H67" s="470"/>
      <c r="I67" s="470"/>
      <c r="J67" s="470"/>
      <c r="K67" s="470"/>
      <c r="L67" s="470"/>
      <c r="M67" s="470"/>
      <c r="N67" s="470"/>
      <c r="O67" s="71"/>
      <c r="P67" s="95" t="str">
        <f t="shared" si="5"/>
        <v/>
      </c>
      <c r="Q67" s="173"/>
      <c r="R67"/>
      <c r="U67"/>
      <c r="V67"/>
      <c r="W67"/>
      <c r="X67"/>
      <c r="Y67"/>
      <c r="Z67"/>
      <c r="AA67"/>
      <c r="AB67"/>
    </row>
    <row r="68" spans="1:28" ht="36" customHeight="1" x14ac:dyDescent="0.2">
      <c r="B68" s="93"/>
      <c r="C68" s="94" t="s">
        <v>242</v>
      </c>
      <c r="D68" s="469" t="s">
        <v>546</v>
      </c>
      <c r="E68" s="470"/>
      <c r="F68" s="470"/>
      <c r="G68" s="470"/>
      <c r="H68" s="470"/>
      <c r="I68" s="470"/>
      <c r="J68" s="470"/>
      <c r="K68" s="470"/>
      <c r="L68" s="470"/>
      <c r="M68" s="470"/>
      <c r="N68" s="471"/>
      <c r="O68" s="71"/>
      <c r="P68" s="95" t="str">
        <f t="shared" si="5"/>
        <v/>
      </c>
      <c r="Q68" s="173"/>
      <c r="R68"/>
      <c r="U68"/>
      <c r="V68"/>
      <c r="W68"/>
      <c r="X68"/>
      <c r="Y68"/>
      <c r="Z68"/>
      <c r="AA68"/>
      <c r="AB68"/>
    </row>
    <row r="69" spans="1:28" ht="52.5" customHeight="1" x14ac:dyDescent="0.2">
      <c r="C69" s="94" t="s">
        <v>243</v>
      </c>
      <c r="D69" s="469" t="s">
        <v>547</v>
      </c>
      <c r="E69" s="470"/>
      <c r="F69" s="470"/>
      <c r="G69" s="470"/>
      <c r="H69" s="470"/>
      <c r="I69" s="470"/>
      <c r="J69" s="470"/>
      <c r="K69" s="470"/>
      <c r="L69" s="470"/>
      <c r="M69" s="470"/>
      <c r="N69" s="471"/>
      <c r="O69" s="71"/>
      <c r="P69" s="95" t="str">
        <f t="shared" si="5"/>
        <v/>
      </c>
      <c r="Q69" s="173"/>
      <c r="R69"/>
      <c r="U69"/>
      <c r="V69"/>
      <c r="W69"/>
      <c r="X69"/>
      <c r="Y69"/>
      <c r="Z69"/>
      <c r="AA69"/>
      <c r="AB69"/>
    </row>
    <row r="70" spans="1:28" ht="21" customHeight="1" x14ac:dyDescent="0.25">
      <c r="A70" s="107" t="s">
        <v>70</v>
      </c>
      <c r="C70" s="608" t="s">
        <v>283</v>
      </c>
      <c r="D70" s="486"/>
      <c r="E70" s="486"/>
      <c r="F70" s="486"/>
      <c r="G70" s="486"/>
      <c r="H70" s="486"/>
      <c r="I70" s="486"/>
      <c r="J70" s="486"/>
      <c r="K70" s="486"/>
      <c r="L70" s="486"/>
      <c r="M70" s="486"/>
      <c r="N70" s="486"/>
      <c r="O70" s="348"/>
      <c r="P70" s="342"/>
      <c r="Q70" s="173"/>
      <c r="R70"/>
      <c r="U70"/>
      <c r="V70"/>
      <c r="W70"/>
      <c r="X70"/>
      <c r="Y70"/>
      <c r="Z70"/>
      <c r="AA70"/>
      <c r="AB70"/>
    </row>
    <row r="71" spans="1:28" ht="29.25" customHeight="1" x14ac:dyDescent="0.25">
      <c r="A71" s="107" t="s">
        <v>285</v>
      </c>
      <c r="B71" s="93"/>
      <c r="C71" s="581" t="s">
        <v>17</v>
      </c>
      <c r="D71" s="470"/>
      <c r="E71" s="470"/>
      <c r="F71" s="470"/>
      <c r="G71" s="470"/>
      <c r="H71" s="470"/>
      <c r="I71" s="470"/>
      <c r="J71" s="470"/>
      <c r="K71" s="470"/>
      <c r="L71" s="470"/>
      <c r="M71" s="470"/>
      <c r="N71" s="470"/>
      <c r="O71" s="345"/>
      <c r="Q71" s="352"/>
      <c r="R71"/>
      <c r="U71"/>
      <c r="V71"/>
      <c r="W71"/>
      <c r="X71"/>
      <c r="Y71"/>
      <c r="Z71"/>
      <c r="AA71"/>
      <c r="AB71"/>
    </row>
    <row r="72" spans="1:28" ht="21.75" customHeight="1" x14ac:dyDescent="0.25">
      <c r="A72" s="107" t="s">
        <v>76</v>
      </c>
      <c r="B72" s="107" t="s">
        <v>286</v>
      </c>
      <c r="C72" s="100" t="s">
        <v>264</v>
      </c>
      <c r="D72" s="573" t="s">
        <v>77</v>
      </c>
      <c r="E72" s="574"/>
      <c r="F72" s="574"/>
      <c r="G72" s="574"/>
      <c r="H72" s="574"/>
      <c r="I72" s="574"/>
      <c r="J72" s="574"/>
      <c r="K72" s="574"/>
      <c r="L72" s="574"/>
      <c r="M72" s="574"/>
      <c r="N72" s="574"/>
      <c r="O72" s="101" t="s">
        <v>265</v>
      </c>
      <c r="P72" s="101" t="s">
        <v>266</v>
      </c>
      <c r="Q72" s="172"/>
      <c r="R72"/>
      <c r="U72"/>
      <c r="V72"/>
      <c r="W72"/>
      <c r="X72"/>
      <c r="Y72"/>
      <c r="Z72"/>
      <c r="AA72"/>
      <c r="AB72"/>
    </row>
    <row r="73" spans="1:28" ht="36" customHeight="1" x14ac:dyDescent="0.2">
      <c r="A73" s="107" t="s">
        <v>287</v>
      </c>
      <c r="B73" s="107" t="s">
        <v>80</v>
      </c>
      <c r="C73" s="102" t="s">
        <v>245</v>
      </c>
      <c r="D73" s="607" t="s">
        <v>284</v>
      </c>
      <c r="E73" s="470"/>
      <c r="F73" s="470"/>
      <c r="G73" s="470"/>
      <c r="H73" s="470"/>
      <c r="I73" s="470"/>
      <c r="J73" s="470"/>
      <c r="K73" s="470"/>
      <c r="L73" s="470"/>
      <c r="M73" s="470"/>
      <c r="N73" s="470"/>
      <c r="O73" s="71"/>
      <c r="P73" s="95" t="str">
        <f>IF(O73="","",IF(O73="Yes","Fail",IF(O73="No","Pass","N/A")))</f>
        <v/>
      </c>
      <c r="R73"/>
      <c r="U73"/>
      <c r="V73"/>
      <c r="W73"/>
      <c r="X73"/>
      <c r="Y73"/>
      <c r="Z73"/>
      <c r="AA73"/>
      <c r="AB73"/>
    </row>
    <row r="74" spans="1:28" ht="189" customHeight="1" x14ac:dyDescent="0.2">
      <c r="A74" s="107" t="s">
        <v>288</v>
      </c>
      <c r="B74" s="93"/>
      <c r="C74" s="102" t="s">
        <v>246</v>
      </c>
      <c r="D74" s="609" t="s">
        <v>552</v>
      </c>
      <c r="E74" s="470"/>
      <c r="F74" s="470"/>
      <c r="G74" s="470"/>
      <c r="H74" s="470"/>
      <c r="I74" s="470"/>
      <c r="J74" s="470"/>
      <c r="K74" s="470"/>
      <c r="L74" s="470"/>
      <c r="M74" s="470"/>
      <c r="N74" s="470"/>
      <c r="O74" s="71"/>
      <c r="P74" s="95" t="str">
        <f>IF(O74="","",IF(O74="Yes","Fail",IF(O74="No","Pass","N/A")))</f>
        <v/>
      </c>
      <c r="Q74" s="359"/>
      <c r="R74"/>
      <c r="U74"/>
      <c r="V74"/>
      <c r="W74"/>
      <c r="X74"/>
      <c r="Y74"/>
      <c r="Z74"/>
      <c r="AA74"/>
      <c r="AB74"/>
    </row>
    <row r="75" spans="1:28" ht="94.5" customHeight="1" x14ac:dyDescent="0.2">
      <c r="A75" s="107" t="s">
        <v>81</v>
      </c>
      <c r="B75" s="93"/>
      <c r="C75" s="102" t="s">
        <v>247</v>
      </c>
      <c r="D75" s="609" t="s">
        <v>551</v>
      </c>
      <c r="E75" s="470"/>
      <c r="F75" s="470"/>
      <c r="G75" s="470"/>
      <c r="H75" s="470"/>
      <c r="I75" s="470"/>
      <c r="J75" s="470"/>
      <c r="K75" s="470"/>
      <c r="L75" s="470"/>
      <c r="M75" s="470"/>
      <c r="N75" s="470"/>
      <c r="O75" s="71"/>
      <c r="P75" s="95" t="str">
        <f t="shared" ref="P75:P82" si="6">IF(O75="","",IF(O75="Yes","Pass",IF(O75="No","Fail","N/A")))</f>
        <v/>
      </c>
      <c r="Q75" s="173"/>
      <c r="R75"/>
      <c r="U75"/>
      <c r="V75"/>
      <c r="W75"/>
      <c r="X75"/>
      <c r="Y75"/>
      <c r="Z75"/>
      <c r="AA75"/>
      <c r="AB75"/>
    </row>
    <row r="76" spans="1:28" ht="126" customHeight="1" x14ac:dyDescent="0.2">
      <c r="A76" s="107" t="s">
        <v>69</v>
      </c>
      <c r="B76" s="93"/>
      <c r="C76" s="102" t="s">
        <v>248</v>
      </c>
      <c r="D76" s="579" t="s">
        <v>550</v>
      </c>
      <c r="E76" s="572"/>
      <c r="F76" s="572"/>
      <c r="G76" s="572"/>
      <c r="H76" s="572"/>
      <c r="I76" s="572"/>
      <c r="J76" s="572"/>
      <c r="K76" s="572"/>
      <c r="L76" s="572"/>
      <c r="M76" s="572"/>
      <c r="N76" s="572"/>
      <c r="O76" s="71"/>
      <c r="P76" s="95" t="str">
        <f t="shared" si="6"/>
        <v/>
      </c>
      <c r="Q76" s="173"/>
      <c r="R76"/>
      <c r="U76"/>
      <c r="V76"/>
      <c r="W76"/>
      <c r="X76"/>
      <c r="Y76"/>
      <c r="Z76"/>
      <c r="AA76"/>
      <c r="AB76"/>
    </row>
    <row r="77" spans="1:28" ht="78" customHeight="1" x14ac:dyDescent="0.2">
      <c r="A77" s="107" t="s">
        <v>288</v>
      </c>
      <c r="B77" s="93"/>
      <c r="C77" s="102" t="s">
        <v>249</v>
      </c>
      <c r="D77" s="579" t="s">
        <v>289</v>
      </c>
      <c r="E77" s="572"/>
      <c r="F77" s="572"/>
      <c r="G77" s="572"/>
      <c r="H77" s="572"/>
      <c r="I77" s="572"/>
      <c r="J77" s="572"/>
      <c r="K77" s="572"/>
      <c r="L77" s="572"/>
      <c r="M77" s="572"/>
      <c r="N77" s="582"/>
      <c r="O77" s="71"/>
      <c r="P77" s="95" t="str">
        <f t="shared" si="6"/>
        <v/>
      </c>
      <c r="Q77" s="173"/>
      <c r="R77"/>
      <c r="U77"/>
      <c r="V77"/>
      <c r="W77"/>
      <c r="X77"/>
      <c r="Y77"/>
      <c r="Z77"/>
      <c r="AA77"/>
      <c r="AB77"/>
    </row>
    <row r="78" spans="1:28" ht="108.75" customHeight="1" x14ac:dyDescent="0.2">
      <c r="A78" s="107" t="s">
        <v>73</v>
      </c>
      <c r="B78" s="93"/>
      <c r="C78" s="102" t="s">
        <v>250</v>
      </c>
      <c r="D78" s="579" t="s">
        <v>543</v>
      </c>
      <c r="E78" s="572"/>
      <c r="F78" s="572"/>
      <c r="G78" s="572"/>
      <c r="H78" s="572"/>
      <c r="I78" s="572"/>
      <c r="J78" s="572"/>
      <c r="K78" s="572"/>
      <c r="L78" s="572"/>
      <c r="M78" s="572"/>
      <c r="N78" s="582"/>
      <c r="O78" s="71"/>
      <c r="P78" s="95" t="str">
        <f t="shared" si="6"/>
        <v/>
      </c>
      <c r="Q78" s="173"/>
      <c r="R78"/>
      <c r="U78"/>
      <c r="V78"/>
      <c r="W78"/>
      <c r="X78"/>
      <c r="Y78"/>
      <c r="Z78"/>
      <c r="AA78"/>
      <c r="AB78"/>
    </row>
    <row r="79" spans="1:28" ht="36" customHeight="1" x14ac:dyDescent="0.2">
      <c r="A79" s="107" t="s">
        <v>81</v>
      </c>
      <c r="B79" s="93"/>
      <c r="C79" s="102" t="s">
        <v>251</v>
      </c>
      <c r="D79" s="567" t="s">
        <v>290</v>
      </c>
      <c r="E79" s="572"/>
      <c r="F79" s="572"/>
      <c r="G79" s="572"/>
      <c r="H79" s="572"/>
      <c r="I79" s="572"/>
      <c r="J79" s="572"/>
      <c r="K79" s="572"/>
      <c r="L79" s="572"/>
      <c r="M79" s="572"/>
      <c r="N79" s="582"/>
      <c r="O79" s="71"/>
      <c r="P79" s="95" t="str">
        <f t="shared" si="6"/>
        <v/>
      </c>
      <c r="Q79" s="173"/>
      <c r="R79"/>
      <c r="U79"/>
      <c r="V79"/>
      <c r="W79"/>
      <c r="X79"/>
      <c r="Y79"/>
      <c r="Z79"/>
      <c r="AA79"/>
      <c r="AB79"/>
    </row>
    <row r="80" spans="1:28" ht="91.5" customHeight="1" x14ac:dyDescent="0.2">
      <c r="A80" s="107" t="s">
        <v>81</v>
      </c>
      <c r="B80" s="93"/>
      <c r="C80" s="102" t="s">
        <v>252</v>
      </c>
      <c r="D80" s="579" t="s">
        <v>549</v>
      </c>
      <c r="E80" s="572"/>
      <c r="F80" s="572"/>
      <c r="G80" s="572"/>
      <c r="H80" s="572"/>
      <c r="I80" s="572"/>
      <c r="J80" s="572"/>
      <c r="K80" s="572"/>
      <c r="L80" s="572"/>
      <c r="M80" s="572"/>
      <c r="N80" s="582"/>
      <c r="O80" s="71"/>
      <c r="P80" s="95" t="str">
        <f t="shared" si="6"/>
        <v/>
      </c>
      <c r="Q80" s="173"/>
      <c r="R80"/>
      <c r="U80"/>
      <c r="V80"/>
      <c r="W80"/>
      <c r="X80"/>
      <c r="Y80"/>
      <c r="Z80"/>
      <c r="AA80"/>
      <c r="AB80"/>
    </row>
    <row r="81" spans="1:18" ht="61.5" customHeight="1" x14ac:dyDescent="0.2">
      <c r="A81" s="107" t="s">
        <v>288</v>
      </c>
      <c r="B81" s="93"/>
      <c r="C81" s="102" t="s">
        <v>253</v>
      </c>
      <c r="D81" s="579" t="s">
        <v>291</v>
      </c>
      <c r="E81" s="572"/>
      <c r="F81" s="572"/>
      <c r="G81" s="572"/>
      <c r="H81" s="572"/>
      <c r="I81" s="572"/>
      <c r="J81" s="572"/>
      <c r="K81" s="572"/>
      <c r="L81" s="572"/>
      <c r="M81" s="572"/>
      <c r="N81" s="582"/>
      <c r="O81" s="71"/>
      <c r="P81" s="95" t="str">
        <f t="shared" si="6"/>
        <v/>
      </c>
      <c r="Q81"/>
      <c r="R81"/>
    </row>
    <row r="82" spans="1:18" ht="78.75" customHeight="1" x14ac:dyDescent="0.2">
      <c r="A82" s="106">
        <v>1</v>
      </c>
      <c r="B82" s="93"/>
      <c r="C82" s="102" t="s">
        <v>254</v>
      </c>
      <c r="D82" s="609" t="s">
        <v>548</v>
      </c>
      <c r="E82" s="470"/>
      <c r="F82" s="470"/>
      <c r="G82" s="470"/>
      <c r="H82" s="470"/>
      <c r="I82" s="470"/>
      <c r="J82" s="470"/>
      <c r="K82" s="470"/>
      <c r="L82" s="470"/>
      <c r="M82" s="470"/>
      <c r="N82" s="471"/>
      <c r="O82" s="71"/>
      <c r="P82" s="95" t="str">
        <f t="shared" si="6"/>
        <v/>
      </c>
      <c r="Q82"/>
      <c r="R82"/>
    </row>
    <row r="83" spans="1:18" ht="20.25" customHeight="1" x14ac:dyDescent="0.2">
      <c r="A83" s="107" t="s">
        <v>73</v>
      </c>
      <c r="C83" s="469" t="s">
        <v>292</v>
      </c>
      <c r="D83" s="470"/>
      <c r="E83" s="470"/>
      <c r="F83" s="470"/>
      <c r="G83" s="470"/>
      <c r="H83" s="470"/>
      <c r="I83" s="470"/>
      <c r="J83" s="470"/>
      <c r="K83" s="470"/>
      <c r="L83" s="470"/>
      <c r="M83" s="470"/>
      <c r="N83" s="470"/>
      <c r="O83" s="346"/>
      <c r="P83" s="95"/>
      <c r="Q83"/>
      <c r="R83"/>
    </row>
    <row r="84" spans="1:18" ht="21" customHeight="1" x14ac:dyDescent="0.2">
      <c r="B84" s="93"/>
      <c r="C84" s="581" t="s">
        <v>17</v>
      </c>
      <c r="D84" s="470"/>
      <c r="E84" s="470"/>
      <c r="F84" s="470"/>
      <c r="G84" s="470"/>
      <c r="H84" s="470"/>
      <c r="I84" s="470"/>
      <c r="J84" s="470"/>
      <c r="K84" s="470"/>
      <c r="L84" s="470"/>
      <c r="M84" s="470"/>
      <c r="N84" s="470"/>
      <c r="O84" s="345"/>
      <c r="P84" s="346"/>
      <c r="Q84"/>
      <c r="R84"/>
    </row>
    <row r="85" spans="1:18" ht="18" x14ac:dyDescent="0.2">
      <c r="P85" s="345"/>
      <c r="Q85" s="173"/>
      <c r="R85" s="173"/>
    </row>
    <row r="86" spans="1:18" ht="18" x14ac:dyDescent="0.2">
      <c r="P86" s="105"/>
      <c r="Q86" s="173"/>
      <c r="R86" s="173"/>
    </row>
    <row r="87" spans="1:18" x14ac:dyDescent="0.2">
      <c r="P87" s="105"/>
      <c r="Q87" s="105"/>
      <c r="R87" s="105"/>
    </row>
    <row r="88" spans="1:18" x14ac:dyDescent="0.2">
      <c r="Q88" s="105"/>
      <c r="R88" s="105"/>
    </row>
    <row r="89" spans="1:18" x14ac:dyDescent="0.2">
      <c r="Q89" s="105"/>
      <c r="R89" s="105"/>
    </row>
    <row r="90" spans="1:18" x14ac:dyDescent="0.2">
      <c r="Q90" s="105"/>
      <c r="R90" s="105"/>
    </row>
  </sheetData>
  <sheetProtection algorithmName="SHA-512" hashValue="EWw4VX7ITdFo6hGxO3DU6IqqHnPC+89gJoBeon9ccvhUhEgK4mtjGbR4ETLoRxSA9G7NBe/ir95Mi9RGqIAf9A==" saltValue="45j1O4qR/IHmgzze7rnF0A==" spinCount="100000" sheet="1" objects="1" scenarios="1"/>
  <mergeCells count="83">
    <mergeCell ref="D82:N82"/>
    <mergeCell ref="C83:N83"/>
    <mergeCell ref="C84:N84"/>
    <mergeCell ref="C34:N34"/>
    <mergeCell ref="C35:N35"/>
    <mergeCell ref="D37:N37"/>
    <mergeCell ref="D49:N49"/>
    <mergeCell ref="C50:N50"/>
    <mergeCell ref="D76:N76"/>
    <mergeCell ref="D77:N77"/>
    <mergeCell ref="D78:N78"/>
    <mergeCell ref="D64:N64"/>
    <mergeCell ref="D54:N54"/>
    <mergeCell ref="D63:N63"/>
    <mergeCell ref="D58:N58"/>
    <mergeCell ref="D60:N60"/>
    <mergeCell ref="C61:N61"/>
    <mergeCell ref="C62:N62"/>
    <mergeCell ref="D69:N69"/>
    <mergeCell ref="C71:N71"/>
    <mergeCell ref="D56:N56"/>
    <mergeCell ref="D57:N57"/>
    <mergeCell ref="D52:N52"/>
    <mergeCell ref="D53:N53"/>
    <mergeCell ref="D59:N59"/>
    <mergeCell ref="D13:N13"/>
    <mergeCell ref="D14:N14"/>
    <mergeCell ref="D29:N29"/>
    <mergeCell ref="C51:N51"/>
    <mergeCell ref="D40:N40"/>
    <mergeCell ref="D47:N47"/>
    <mergeCell ref="D48:N48"/>
    <mergeCell ref="D43:N43"/>
    <mergeCell ref="D44:N44"/>
    <mergeCell ref="D45:N45"/>
    <mergeCell ref="D46:N46"/>
    <mergeCell ref="D42:N42"/>
    <mergeCell ref="D41:N41"/>
    <mergeCell ref="D19:N19"/>
    <mergeCell ref="C20:N20"/>
    <mergeCell ref="C21:N21"/>
    <mergeCell ref="D15:N15"/>
    <mergeCell ref="D16:N16"/>
    <mergeCell ref="D17:N17"/>
    <mergeCell ref="D18:N18"/>
    <mergeCell ref="D22:N22"/>
    <mergeCell ref="D31:N31"/>
    <mergeCell ref="D32:N32"/>
    <mergeCell ref="D23:N23"/>
    <mergeCell ref="D24:N24"/>
    <mergeCell ref="D25:N25"/>
    <mergeCell ref="D26:N26"/>
    <mergeCell ref="C27:N27"/>
    <mergeCell ref="D30:N30"/>
    <mergeCell ref="C28:N28"/>
    <mergeCell ref="S1:U1"/>
    <mergeCell ref="T4:U4"/>
    <mergeCell ref="C1:G1"/>
    <mergeCell ref="C2:G2"/>
    <mergeCell ref="D12:N12"/>
    <mergeCell ref="K1:L1"/>
    <mergeCell ref="K2:L2"/>
    <mergeCell ref="E5:G5"/>
    <mergeCell ref="D8:N8"/>
    <mergeCell ref="D9:N9"/>
    <mergeCell ref="D10:N10"/>
    <mergeCell ref="D11:N11"/>
    <mergeCell ref="D33:N33"/>
    <mergeCell ref="D81:N81"/>
    <mergeCell ref="D65:N65"/>
    <mergeCell ref="D66:N66"/>
    <mergeCell ref="D67:N67"/>
    <mergeCell ref="D80:N80"/>
    <mergeCell ref="D79:N79"/>
    <mergeCell ref="D68:N68"/>
    <mergeCell ref="D72:N72"/>
    <mergeCell ref="D73:N73"/>
    <mergeCell ref="D74:N74"/>
    <mergeCell ref="D75:N75"/>
    <mergeCell ref="D36:N36"/>
    <mergeCell ref="D39:N39"/>
    <mergeCell ref="C70:N70"/>
    <mergeCell ref="D55:N55"/>
  </mergeCells>
  <conditionalFormatting sqref="M5">
    <cfRule type="containsText" dxfId="64" priority="4" operator="containsText" text="Fail">
      <formula>NOT(ISERROR(SEARCH("Fail",M5)))</formula>
    </cfRule>
  </conditionalFormatting>
  <conditionalFormatting sqref="P8:R19 P20 P22:R26 P29:R33 Q34:Q46 P36:P37 P39:P49 Q51:Q59 P52:P60 P63:P69 Q63:Q70 P72:P83 Q74:Q80">
    <cfRule type="containsText" dxfId="63" priority="1" operator="containsText" text="Fail">
      <formula>NOT(ISERROR(SEARCH("Fail",P8)))</formula>
    </cfRule>
  </conditionalFormatting>
  <conditionalFormatting sqref="Q85:R86">
    <cfRule type="containsText" dxfId="62" priority="6" operator="containsText" text="Fail">
      <formula>NOT(ISERROR(SEARCH("Fail",Q85)))</formula>
    </cfRule>
  </conditionalFormatting>
  <conditionalFormatting sqref="U1:U3 T4">
    <cfRule type="containsText" dxfId="61" priority="2" operator="containsText" text="Fail">
      <formula>NOT(ISERROR(SEARCH("Fail",T1)))</formula>
    </cfRule>
  </conditionalFormatting>
  <conditionalFormatting sqref="AE9">
    <cfRule type="containsText" dxfId="60" priority="5" operator="containsText" text="Fail">
      <formula>NOT(ISERROR(SEARCH("Fail",AE9)))</formula>
    </cfRule>
  </conditionalFormatting>
  <dataValidations count="4">
    <dataValidation type="whole" operator="greaterThan" allowBlank="1" showInputMessage="1" showErrorMessage="1" sqref="X9:X34" xr:uid="{8F487491-DD23-464F-A031-70D403FD577E}">
      <formula1>0</formula1>
    </dataValidation>
    <dataValidation type="date" operator="greaterThan" allowBlank="1" showInputMessage="1" showErrorMessage="1" sqref="W9:W34" xr:uid="{C9BAAFB7-B6E2-4605-96B0-2C74CEAB7B27}">
      <formula1>36526</formula1>
    </dataValidation>
    <dataValidation type="list" showErrorMessage="1" errorTitle="Invalid Selection" error="Select either Yes, No, or N/A from the dropdown list. Click &quot;Cancel&quot; below, then update selection." sqref="O73:O82 O23:O26 O53:O60 O39:O49 O64:O69 O37 O30:O33 O9:O19" xr:uid="{A2F9721B-CCD3-45DE-AEDB-C4B56EFF66D8}">
      <formula1>"Yes,No,N/A"</formula1>
    </dataValidation>
    <dataValidation type="decimal" operator="greaterThanOrEqual" allowBlank="1" showInputMessage="1" showErrorMessage="1" errorTitle="Input Error" error="Insert the claimed amount with dollars and cents in $0.00 format. Click &quot;Cancel&quot; below and try again." sqref="Y9:Y34" xr:uid="{8BC208F2-6040-4F84-9085-FA59FA90C535}">
      <formula1>0</formula1>
    </dataValidation>
  </dataValidations>
  <pageMargins left="0.7" right="0.7" top="1" bottom="0.75" header="0.3" footer="0.3"/>
  <pageSetup scale="64" fitToHeight="0" orientation="portrait" r:id="rId1"/>
  <headerFooter>
    <oddHeader>&amp;CConfidential QI Report
San Diego County Mental Health Plan
Behavioral Health Services
Fiscal Year 23-24</oddHeader>
    <oddFooter>&amp;LFY 23-24 Medical Record Review Report - Excel - Rev. 7-1-23</oddFooter>
  </headerFooter>
  <colBreaks count="1" manualBreakCount="1">
    <brk id="15" max="84"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270AE28B-1A11-41A2-8B17-5809CAFCCC21}">
          <x14:formula1>
            <xm:f>Validations!$E$4:$E$15</xm:f>
          </x14:formula1>
          <xm:sqref>Z9:Z34</xm:sqref>
        </x14:dataValidation>
        <x14:dataValidation type="list" allowBlank="1" showInputMessage="1" showErrorMessage="1" xr:uid="{764B6D3C-1028-4478-870F-BB31C11DDEA4}">
          <x14:formula1>
            <xm:f>Validations!$D$4:$D$7</xm:f>
          </x14:formula1>
          <xm:sqref>AA9:AA34</xm:sqref>
        </x14:dataValidation>
        <x14:dataValidation type="list" allowBlank="1" showInputMessage="1" showErrorMessage="1" xr:uid="{BAD5A562-5806-497B-AE74-A00AA8A5C919}">
          <x14:formula1>
            <xm:f>Validations!$C$4:$C$54</xm:f>
          </x14:formula1>
          <xm:sqref>V9:V34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95472-10B5-43B2-B0D5-B816FF420DA3}">
  <dimension ref="A1:E48"/>
  <sheetViews>
    <sheetView showGridLines="0" view="pageBreakPreview" zoomScaleNormal="100" zoomScaleSheetLayoutView="100" workbookViewId="0">
      <selection activeCell="F41" sqref="F41"/>
    </sheetView>
  </sheetViews>
  <sheetFormatPr defaultColWidth="9.140625" defaultRowHeight="12.75" x14ac:dyDescent="0.2"/>
  <cols>
    <col min="1" max="1" width="119.42578125" style="180" customWidth="1"/>
    <col min="2" max="2" width="9.42578125" style="180" customWidth="1"/>
    <col min="3" max="16384" width="9.140625" style="180"/>
  </cols>
  <sheetData>
    <row r="1" spans="1:5" ht="190.5" customHeight="1" x14ac:dyDescent="0.2">
      <c r="E1" s="245"/>
    </row>
    <row r="2" spans="1:5" ht="19.5" customHeight="1" x14ac:dyDescent="0.2">
      <c r="A2" s="268" t="s">
        <v>409</v>
      </c>
    </row>
    <row r="3" spans="1:5" ht="29.25" customHeight="1" x14ac:dyDescent="0.2">
      <c r="A3" s="271" t="s">
        <v>419</v>
      </c>
    </row>
    <row r="4" spans="1:5" ht="15" customHeight="1" x14ac:dyDescent="0.2">
      <c r="A4" s="272" t="s">
        <v>420</v>
      </c>
    </row>
    <row r="5" spans="1:5" ht="15" customHeight="1" x14ac:dyDescent="0.2">
      <c r="A5" s="272" t="s">
        <v>411</v>
      </c>
    </row>
    <row r="6" spans="1:5" ht="15" customHeight="1" x14ac:dyDescent="0.2">
      <c r="A6" s="272" t="s">
        <v>411</v>
      </c>
    </row>
    <row r="7" spans="1:5" ht="18.75" customHeight="1" x14ac:dyDescent="0.2">
      <c r="A7" s="279"/>
    </row>
    <row r="8" spans="1:5" ht="18.75" customHeight="1" x14ac:dyDescent="0.2">
      <c r="A8" s="275" t="s">
        <v>412</v>
      </c>
    </row>
    <row r="9" spans="1:5" ht="24.75" customHeight="1" x14ac:dyDescent="0.2">
      <c r="A9" s="218" t="s">
        <v>421</v>
      </c>
    </row>
    <row r="10" spans="1:5" ht="167.45" customHeight="1" x14ac:dyDescent="0.2">
      <c r="A10" s="278" t="s">
        <v>422</v>
      </c>
    </row>
    <row r="11" spans="1:5" ht="57.75" customHeight="1" x14ac:dyDescent="0.2">
      <c r="A11" s="280" t="s">
        <v>423</v>
      </c>
      <c r="B11" s="280"/>
    </row>
    <row r="12" spans="1:5" ht="9" customHeight="1" x14ac:dyDescent="0.2"/>
    <row r="13" spans="1:5" ht="35.25" customHeight="1" x14ac:dyDescent="0.2">
      <c r="A13" s="278" t="s">
        <v>424</v>
      </c>
      <c r="B13" s="278"/>
    </row>
    <row r="14" spans="1:5" ht="14.25" x14ac:dyDescent="0.2">
      <c r="A14" s="281" t="s">
        <v>425</v>
      </c>
    </row>
    <row r="15" spans="1:5" ht="11.25" customHeight="1" x14ac:dyDescent="0.2">
      <c r="A15" s="281"/>
    </row>
    <row r="16" spans="1:5" ht="21" customHeight="1" x14ac:dyDescent="0.2">
      <c r="A16" s="281"/>
    </row>
    <row r="17" spans="1:2" ht="14.25" x14ac:dyDescent="0.2">
      <c r="A17" s="277" t="s">
        <v>426</v>
      </c>
    </row>
    <row r="18" spans="1:2" ht="14.25" x14ac:dyDescent="0.2">
      <c r="A18" s="215" t="s">
        <v>416</v>
      </c>
    </row>
    <row r="19" spans="1:2" ht="14.25" x14ac:dyDescent="0.2">
      <c r="A19" s="215"/>
    </row>
    <row r="20" spans="1:2" ht="14.25" x14ac:dyDescent="0.2">
      <c r="A20" s="215" t="s">
        <v>427</v>
      </c>
    </row>
    <row r="21" spans="1:2" x14ac:dyDescent="0.2">
      <c r="A21" s="180" t="s">
        <v>428</v>
      </c>
    </row>
    <row r="23" spans="1:2" ht="18" x14ac:dyDescent="0.25">
      <c r="A23" s="282" t="s">
        <v>429</v>
      </c>
    </row>
    <row r="25" spans="1:2" ht="18" x14ac:dyDescent="0.25">
      <c r="B25" s="283"/>
    </row>
    <row r="26" spans="1:2" ht="15" x14ac:dyDescent="0.25">
      <c r="A26" s="284" t="s">
        <v>430</v>
      </c>
    </row>
    <row r="27" spans="1:2" ht="15" x14ac:dyDescent="0.25">
      <c r="A27" s="284" t="s">
        <v>431</v>
      </c>
    </row>
    <row r="28" spans="1:2" ht="15" x14ac:dyDescent="0.25">
      <c r="A28" s="284" t="s">
        <v>432</v>
      </c>
    </row>
    <row r="30" spans="1:2" x14ac:dyDescent="0.2">
      <c r="A30" s="285"/>
    </row>
    <row r="31" spans="1:2" ht="44.1" customHeight="1" x14ac:dyDescent="0.2">
      <c r="A31" s="278" t="s">
        <v>433</v>
      </c>
    </row>
    <row r="32" spans="1:2" s="285" customFormat="1" ht="14.25" x14ac:dyDescent="0.2">
      <c r="A32" s="278"/>
    </row>
    <row r="33" spans="1:1" s="285" customFormat="1" ht="28.5" x14ac:dyDescent="0.2">
      <c r="A33" s="278" t="s">
        <v>434</v>
      </c>
    </row>
    <row r="34" spans="1:1" s="286" customFormat="1" ht="11.25" customHeight="1" x14ac:dyDescent="0.2">
      <c r="A34" s="278"/>
    </row>
    <row r="35" spans="1:1" s="286" customFormat="1" ht="38.1" customHeight="1" x14ac:dyDescent="0.2">
      <c r="A35" s="278" t="s">
        <v>435</v>
      </c>
    </row>
    <row r="36" spans="1:1" s="286" customFormat="1" ht="66" customHeight="1" x14ac:dyDescent="0.2">
      <c r="A36" s="278" t="s">
        <v>436</v>
      </c>
    </row>
    <row r="37" spans="1:1" s="286" customFormat="1" ht="37.5" customHeight="1" x14ac:dyDescent="0.2">
      <c r="A37" s="278" t="s">
        <v>437</v>
      </c>
    </row>
    <row r="38" spans="1:1" ht="68.45" customHeight="1" x14ac:dyDescent="0.2">
      <c r="A38" s="278" t="s">
        <v>438</v>
      </c>
    </row>
    <row r="39" spans="1:1" ht="28.5" x14ac:dyDescent="0.2">
      <c r="A39" s="278" t="s">
        <v>439</v>
      </c>
    </row>
    <row r="40" spans="1:1" ht="14.25" x14ac:dyDescent="0.2">
      <c r="A40" s="287"/>
    </row>
    <row r="41" spans="1:1" ht="14.25" x14ac:dyDescent="0.2">
      <c r="A41" s="288" t="s">
        <v>440</v>
      </c>
    </row>
    <row r="42" spans="1:1" ht="14.25" x14ac:dyDescent="0.2">
      <c r="A42" s="288" t="s">
        <v>441</v>
      </c>
    </row>
    <row r="43" spans="1:1" ht="14.25" x14ac:dyDescent="0.2">
      <c r="A43" s="288"/>
    </row>
    <row r="44" spans="1:1" ht="14.25" x14ac:dyDescent="0.2">
      <c r="A44" s="288"/>
    </row>
    <row r="45" spans="1:1" ht="14.25" x14ac:dyDescent="0.2">
      <c r="A45" s="288"/>
    </row>
    <row r="46" spans="1:1" ht="14.25" x14ac:dyDescent="0.2">
      <c r="A46" s="288"/>
    </row>
    <row r="47" spans="1:1" ht="28.5" x14ac:dyDescent="0.2">
      <c r="A47" s="289" t="s">
        <v>442</v>
      </c>
    </row>
    <row r="48" spans="1:1" x14ac:dyDescent="0.2">
      <c r="A48" s="285"/>
    </row>
  </sheetData>
  <sheetProtection algorithmName="SHA-512" hashValue="ZYDiHzVqPzbIkqZKmXR+SAPH4O88XC1jDGjJqRclabGiHmD5oNtxRwoJNjuo3bvR68VeQfFTB/2s4yaU6//48w==" saltValue="PKuVzGHCPQHTWE9uRZoQAQ==" spinCount="100000" sheet="1" objects="1" scenarios="1"/>
  <printOptions horizontalCentered="1"/>
  <pageMargins left="0.24" right="0.25" top="0.95" bottom="0.63" header="0.38" footer="0.25"/>
  <pageSetup scale="77" orientation="portrait" r:id="rId1"/>
  <headerFooter alignWithMargins="0">
    <oddFooter>&amp;R&amp;P</oddFooter>
  </headerFooter>
  <rowBreaks count="1" manualBreakCount="1">
    <brk id="21" man="1"/>
  </rowBreaks>
  <drawing r:id="rId2"/>
  <legacyDrawing r:id="rId3"/>
  <oleObjects>
    <mc:AlternateContent xmlns:mc="http://schemas.openxmlformats.org/markup-compatibility/2006">
      <mc:Choice Requires="x14">
        <oleObject progId="Word.Picture.8" shapeId="30721" r:id="rId4">
          <objectPr defaultSize="0" autoPict="0" r:id="rId5">
            <anchor moveWithCells="1" sizeWithCells="1">
              <from>
                <xdr:col>0</xdr:col>
                <xdr:colOff>447675</xdr:colOff>
                <xdr:row>0</xdr:row>
                <xdr:rowOff>9525</xdr:rowOff>
              </from>
              <to>
                <xdr:col>0</xdr:col>
                <xdr:colOff>7286625</xdr:colOff>
                <xdr:row>0</xdr:row>
                <xdr:rowOff>1171575</xdr:rowOff>
              </to>
            </anchor>
          </objectPr>
        </oleObject>
      </mc:Choice>
      <mc:Fallback>
        <oleObject progId="Word.Picture.8" shapeId="30721" r:id="rId4"/>
      </mc:Fallback>
    </mc:AlternateContent>
    <mc:AlternateContent xmlns:mc="http://schemas.openxmlformats.org/markup-compatibility/2006">
      <mc:Choice Requires="x14">
        <oleObject progId="Word.Picture.8" shapeId="30722" r:id="rId6">
          <objectPr defaultSize="0" autoPict="0" r:id="rId5">
            <anchor moveWithCells="1" sizeWithCells="1">
              <from>
                <xdr:col>0</xdr:col>
                <xdr:colOff>447675</xdr:colOff>
                <xdr:row>0</xdr:row>
                <xdr:rowOff>9525</xdr:rowOff>
              </from>
              <to>
                <xdr:col>0</xdr:col>
                <xdr:colOff>7286625</xdr:colOff>
                <xdr:row>0</xdr:row>
                <xdr:rowOff>1171575</xdr:rowOff>
              </to>
            </anchor>
          </objectPr>
        </oleObject>
      </mc:Choice>
      <mc:Fallback>
        <oleObject progId="Word.Picture.8" shapeId="30722"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EEC9A-7466-4F9D-BB60-B4AB50DF71C1}">
  <sheetPr codeName="Sheet11">
    <tabColor theme="3" tint="0.39997558519241921"/>
  </sheetPr>
  <dimension ref="A1:AE90"/>
  <sheetViews>
    <sheetView showGridLines="0" view="pageBreakPreview" zoomScale="92" zoomScaleNormal="80" zoomScaleSheetLayoutView="92" workbookViewId="0">
      <selection activeCell="D12" sqref="D12:N12"/>
    </sheetView>
  </sheetViews>
  <sheetFormatPr defaultColWidth="9.5703125" defaultRowHeight="15" x14ac:dyDescent="0.2"/>
  <cols>
    <col min="1" max="1" width="7.7109375" style="106" customWidth="1"/>
    <col min="2" max="2" width="8.42578125" style="4" customWidth="1"/>
    <col min="3" max="3" width="8.42578125" style="5" customWidth="1"/>
    <col min="4" max="4" width="2.5703125" style="1" customWidth="1"/>
    <col min="5" max="5" width="7.140625" style="1" customWidth="1"/>
    <col min="6" max="6" width="8.5703125" style="1" customWidth="1"/>
    <col min="7" max="7" width="6.42578125" style="1" customWidth="1"/>
    <col min="8" max="8" width="4.7109375" style="1" customWidth="1"/>
    <col min="9" max="9" width="27.28515625" style="1" customWidth="1"/>
    <col min="10" max="10" width="2.5703125" style="1" customWidth="1"/>
    <col min="11" max="11" width="18.140625" style="1" customWidth="1"/>
    <col min="12" max="12" width="3.42578125" style="1" customWidth="1"/>
    <col min="13" max="13" width="12.140625" style="1" customWidth="1"/>
    <col min="14" max="14" width="9.5703125" style="1" customWidth="1"/>
    <col min="15" max="15" width="13.28515625" style="1" customWidth="1"/>
    <col min="16" max="16" width="8.7109375" style="1" hidden="1" customWidth="1"/>
    <col min="17" max="18" width="1.5703125" style="1" customWidth="1"/>
    <col min="19" max="19" width="11.7109375" customWidth="1"/>
    <col min="20" max="20" width="9.42578125" customWidth="1"/>
    <col min="21" max="21" width="12.140625" style="1" customWidth="1"/>
    <col min="22" max="22" width="23.42578125" style="1" customWidth="1"/>
    <col min="23" max="23" width="12.42578125" style="1" customWidth="1"/>
    <col min="24" max="25" width="9.5703125" style="1"/>
    <col min="26" max="26" width="12.140625" style="1" customWidth="1"/>
    <col min="27" max="27" width="14.28515625" style="1" customWidth="1"/>
    <col min="28" max="28" width="21.42578125" style="1" customWidth="1"/>
    <col min="29" max="16384" width="9.5703125" style="1"/>
  </cols>
  <sheetData>
    <row r="1" spans="1:31" s="5" customFormat="1" ht="15.75" x14ac:dyDescent="0.25">
      <c r="A1" s="106"/>
      <c r="B1" s="4"/>
      <c r="C1" s="560" t="s">
        <v>338</v>
      </c>
      <c r="D1" s="561"/>
      <c r="E1" s="561"/>
      <c r="F1" s="561"/>
      <c r="G1" s="562"/>
      <c r="H1"/>
      <c r="I1" s="86" t="s">
        <v>38</v>
      </c>
      <c r="J1" s="153"/>
      <c r="K1" s="560" t="s">
        <v>12</v>
      </c>
      <c r="L1" s="562"/>
      <c r="N1"/>
      <c r="O1"/>
      <c r="P1"/>
      <c r="Q1"/>
      <c r="R1"/>
      <c r="S1" s="560" t="s">
        <v>260</v>
      </c>
      <c r="T1" s="561"/>
      <c r="U1" s="562"/>
      <c r="V1"/>
      <c r="W1"/>
      <c r="X1"/>
      <c r="Y1"/>
      <c r="Z1"/>
      <c r="AA1"/>
      <c r="AB1"/>
    </row>
    <row r="2" spans="1:31" s="5" customFormat="1" ht="15" customHeight="1" x14ac:dyDescent="0.2">
      <c r="A2" s="106"/>
      <c r="B2" s="4"/>
      <c r="C2" s="583">
        <f>'Chart Review Info'!D3</f>
        <v>0</v>
      </c>
      <c r="D2" s="584"/>
      <c r="E2" s="584"/>
      <c r="F2" s="584"/>
      <c r="G2" s="585"/>
      <c r="H2"/>
      <c r="I2" s="150">
        <f>'Chart Review Info'!D4</f>
        <v>0</v>
      </c>
      <c r="J2" s="153"/>
      <c r="K2" s="592">
        <f>'Chart Review Info'!F22</f>
        <v>0</v>
      </c>
      <c r="L2" s="591"/>
      <c r="N2"/>
      <c r="O2"/>
      <c r="P2"/>
      <c r="Q2"/>
      <c r="R2"/>
      <c r="S2" s="55">
        <f>'Chart Review Info'!G4</f>
        <v>0</v>
      </c>
      <c r="T2" s="82" t="s">
        <v>261</v>
      </c>
      <c r="U2" s="83">
        <f>'Chart Review Info'!G5</f>
        <v>0</v>
      </c>
      <c r="V2"/>
      <c r="W2"/>
      <c r="X2"/>
      <c r="Y2"/>
      <c r="Z2"/>
      <c r="AA2"/>
      <c r="AB2"/>
    </row>
    <row r="3" spans="1:31" s="5" customFormat="1" x14ac:dyDescent="0.2">
      <c r="A3" s="106"/>
      <c r="B3" s="4"/>
      <c r="C3" s="84"/>
      <c r="H3"/>
      <c r="J3" s="98"/>
      <c r="V3"/>
      <c r="W3"/>
      <c r="X3"/>
      <c r="Y3"/>
      <c r="Z3"/>
      <c r="AA3"/>
      <c r="AB3"/>
    </row>
    <row r="4" spans="1:31" s="5" customFormat="1" ht="15.75" x14ac:dyDescent="0.25">
      <c r="A4" s="106"/>
      <c r="B4" s="4"/>
      <c r="C4" s="85" t="s">
        <v>202</v>
      </c>
      <c r="E4" s="85" t="s">
        <v>86</v>
      </c>
      <c r="F4" s="86"/>
      <c r="G4" s="85"/>
      <c r="H4"/>
      <c r="I4" s="151" t="s">
        <v>350</v>
      </c>
      <c r="J4" s="98"/>
      <c r="K4" s="87" t="s">
        <v>260</v>
      </c>
      <c r="L4" s="88"/>
      <c r="O4" s="86" t="s">
        <v>294</v>
      </c>
      <c r="P4"/>
      <c r="Q4"/>
      <c r="R4"/>
      <c r="S4" s="85" t="s">
        <v>12</v>
      </c>
      <c r="T4" s="563">
        <f>Prog_9</f>
        <v>0</v>
      </c>
      <c r="U4" s="564"/>
      <c r="V4"/>
      <c r="W4"/>
      <c r="X4"/>
      <c r="Y4"/>
      <c r="Z4"/>
      <c r="AA4"/>
      <c r="AB4"/>
    </row>
    <row r="5" spans="1:31" s="5" customFormat="1" x14ac:dyDescent="0.2">
      <c r="A5" s="106"/>
      <c r="B5" s="4"/>
      <c r="C5" s="54">
        <v>9</v>
      </c>
      <c r="E5" s="589" t="str">
        <f>'Chart Review Info'!C22</f>
        <v>N/A</v>
      </c>
      <c r="F5" s="590"/>
      <c r="G5" s="591"/>
      <c r="H5"/>
      <c r="I5" s="152">
        <f>Consum_9</f>
        <v>0</v>
      </c>
      <c r="J5" s="98"/>
      <c r="K5" s="293">
        <f>'Chart Review Info'!G4</f>
        <v>0</v>
      </c>
      <c r="L5" s="102" t="s">
        <v>261</v>
      </c>
      <c r="M5" s="293">
        <f>'Chart Review Info'!G5</f>
        <v>0</v>
      </c>
      <c r="O5" s="54">
        <f>'Chart Review Info'!G22</f>
        <v>0</v>
      </c>
      <c r="P5"/>
      <c r="Q5"/>
      <c r="R5"/>
      <c r="S5"/>
      <c r="T5"/>
      <c r="V5"/>
      <c r="W5"/>
      <c r="X5"/>
      <c r="Y5" s="6" t="s">
        <v>514</v>
      </c>
      <c r="Z5"/>
      <c r="AA5"/>
      <c r="AB5"/>
    </row>
    <row r="6" spans="1:31" x14ac:dyDescent="0.2">
      <c r="C6" s="154"/>
      <c r="D6" s="158"/>
      <c r="E6" s="155"/>
      <c r="F6" s="155"/>
      <c r="G6" s="155"/>
      <c r="H6" s="155"/>
      <c r="I6" s="155"/>
      <c r="J6" s="155"/>
      <c r="K6" s="155"/>
      <c r="L6" s="155"/>
      <c r="M6" s="155"/>
      <c r="N6" s="155"/>
      <c r="O6" s="155"/>
      <c r="P6" s="155"/>
      <c r="Q6" s="155"/>
      <c r="R6" s="155"/>
      <c r="T6" s="1"/>
      <c r="W6" s="51"/>
      <c r="Y6" s="329">
        <f>SUM(Y9:Y16)</f>
        <v>0</v>
      </c>
      <c r="AA6" s="13"/>
      <c r="AB6" s="13"/>
    </row>
    <row r="7" spans="1:31" ht="23.25" x14ac:dyDescent="0.25">
      <c r="C7" s="89" t="s">
        <v>262</v>
      </c>
      <c r="D7" s="159"/>
      <c r="E7" s="90"/>
      <c r="F7" s="90"/>
      <c r="G7" s="90"/>
      <c r="H7" s="90"/>
      <c r="I7" s="90"/>
      <c r="J7" s="90"/>
      <c r="K7" s="90"/>
      <c r="L7" s="90"/>
      <c r="M7" s="90"/>
      <c r="N7" s="90"/>
      <c r="O7" s="90"/>
      <c r="P7" s="90"/>
      <c r="S7" s="20"/>
      <c r="T7" s="21"/>
      <c r="U7" s="21"/>
      <c r="V7" s="21"/>
      <c r="W7" s="21"/>
      <c r="X7" s="160" t="s">
        <v>263</v>
      </c>
      <c r="Y7" s="160"/>
      <c r="Z7" s="160"/>
      <c r="AA7" s="22"/>
      <c r="AB7" s="23"/>
    </row>
    <row r="8" spans="1:31" ht="27" customHeight="1" x14ac:dyDescent="0.25">
      <c r="C8" s="91" t="s">
        <v>264</v>
      </c>
      <c r="D8" s="588" t="s">
        <v>68</v>
      </c>
      <c r="E8" s="574"/>
      <c r="F8" s="574"/>
      <c r="G8" s="574"/>
      <c r="H8" s="574"/>
      <c r="I8" s="574"/>
      <c r="J8" s="574"/>
      <c r="K8" s="574"/>
      <c r="L8" s="574"/>
      <c r="M8" s="574"/>
      <c r="N8" s="574"/>
      <c r="O8" s="92" t="s">
        <v>265</v>
      </c>
      <c r="P8" s="92" t="s">
        <v>266</v>
      </c>
      <c r="Q8" s="359"/>
      <c r="R8" s="351"/>
      <c r="S8" s="7" t="s">
        <v>449</v>
      </c>
      <c r="T8" s="9" t="s">
        <v>87</v>
      </c>
      <c r="U8" s="7" t="s">
        <v>88</v>
      </c>
      <c r="V8" s="7" t="s">
        <v>89</v>
      </c>
      <c r="W8" s="7" t="s">
        <v>90</v>
      </c>
      <c r="X8" s="7" t="s">
        <v>644</v>
      </c>
      <c r="Y8" s="8" t="s">
        <v>201</v>
      </c>
      <c r="Z8" s="116" t="s">
        <v>91</v>
      </c>
      <c r="AA8" s="117" t="s">
        <v>95</v>
      </c>
      <c r="AB8" s="117" t="s">
        <v>92</v>
      </c>
    </row>
    <row r="9" spans="1:31" ht="60" customHeight="1" x14ac:dyDescent="0.2">
      <c r="A9" s="212" t="s">
        <v>73</v>
      </c>
      <c r="B9" s="93"/>
      <c r="C9" s="94" t="s">
        <v>204</v>
      </c>
      <c r="D9" s="567" t="s">
        <v>658</v>
      </c>
      <c r="E9" s="470"/>
      <c r="F9" s="470"/>
      <c r="G9" s="470"/>
      <c r="H9" s="470"/>
      <c r="I9" s="470"/>
      <c r="J9" s="470"/>
      <c r="K9" s="470"/>
      <c r="L9" s="470"/>
      <c r="M9" s="470"/>
      <c r="N9" s="471"/>
      <c r="O9" s="71"/>
      <c r="P9" s="95" t="str">
        <f t="shared" ref="P9:P12" si="0">IF(O9="","",IF(O9="Yes","Pass",IF(O9="No","Fail","N/A")))</f>
        <v/>
      </c>
      <c r="Q9" s="173"/>
      <c r="R9" s="173"/>
      <c r="S9" s="124"/>
      <c r="T9" s="125"/>
      <c r="U9" s="125"/>
      <c r="V9" s="125"/>
      <c r="W9" s="126"/>
      <c r="X9" s="125"/>
      <c r="Y9" s="127"/>
      <c r="Z9" s="128"/>
      <c r="AA9" s="129"/>
      <c r="AB9" s="130"/>
      <c r="AC9" s="96"/>
      <c r="AD9" s="96"/>
      <c r="AE9" s="96"/>
    </row>
    <row r="10" spans="1:31" ht="87" customHeight="1" x14ac:dyDescent="0.2">
      <c r="A10" s="107">
        <v>1</v>
      </c>
      <c r="B10" s="93"/>
      <c r="C10" s="94" t="s">
        <v>205</v>
      </c>
      <c r="D10" s="567" t="s">
        <v>528</v>
      </c>
      <c r="E10" s="586"/>
      <c r="F10" s="586"/>
      <c r="G10" s="586"/>
      <c r="H10" s="586"/>
      <c r="I10" s="586"/>
      <c r="J10" s="586"/>
      <c r="K10" s="586"/>
      <c r="L10" s="586"/>
      <c r="M10" s="586"/>
      <c r="N10" s="587"/>
      <c r="O10" s="71"/>
      <c r="P10" s="95" t="str">
        <f t="shared" si="0"/>
        <v/>
      </c>
      <c r="Q10" s="173"/>
      <c r="R10" s="173"/>
      <c r="S10" s="124"/>
      <c r="T10" s="124"/>
      <c r="U10" s="124"/>
      <c r="V10" s="125"/>
      <c r="W10" s="131"/>
      <c r="X10" s="124"/>
      <c r="Y10" s="127"/>
      <c r="Z10" s="128"/>
      <c r="AA10" s="129"/>
      <c r="AB10" s="129"/>
    </row>
    <row r="11" spans="1:31" ht="50.25" customHeight="1" x14ac:dyDescent="0.2">
      <c r="A11" s="107" t="s">
        <v>70</v>
      </c>
      <c r="B11" s="93"/>
      <c r="C11" s="94" t="s">
        <v>206</v>
      </c>
      <c r="D11" s="567" t="s">
        <v>529</v>
      </c>
      <c r="E11" s="586"/>
      <c r="F11" s="586"/>
      <c r="G11" s="586"/>
      <c r="H11" s="586"/>
      <c r="I11" s="586"/>
      <c r="J11" s="586"/>
      <c r="K11" s="586"/>
      <c r="L11" s="586"/>
      <c r="M11" s="586"/>
      <c r="N11" s="587"/>
      <c r="O11" s="71"/>
      <c r="P11" s="95" t="str">
        <f t="shared" si="0"/>
        <v/>
      </c>
      <c r="Q11" s="173"/>
      <c r="R11" s="173"/>
      <c r="S11" s="124"/>
      <c r="T11" s="124"/>
      <c r="U11" s="124"/>
      <c r="V11" s="125"/>
      <c r="W11" s="131"/>
      <c r="X11" s="124"/>
      <c r="Y11" s="127"/>
      <c r="Z11" s="128"/>
      <c r="AA11" s="129"/>
      <c r="AB11" s="129"/>
    </row>
    <row r="12" spans="1:31" ht="33.75" customHeight="1" x14ac:dyDescent="0.2">
      <c r="A12" s="106">
        <v>1</v>
      </c>
      <c r="C12" s="94" t="s">
        <v>207</v>
      </c>
      <c r="D12" s="567" t="s">
        <v>659</v>
      </c>
      <c r="E12" s="586"/>
      <c r="F12" s="586"/>
      <c r="G12" s="586"/>
      <c r="H12" s="586"/>
      <c r="I12" s="586"/>
      <c r="J12" s="586"/>
      <c r="K12" s="586"/>
      <c r="L12" s="586"/>
      <c r="M12" s="586"/>
      <c r="N12" s="587"/>
      <c r="O12" s="71"/>
      <c r="P12" s="95" t="str">
        <f t="shared" si="0"/>
        <v/>
      </c>
      <c r="Q12" s="173"/>
      <c r="R12" s="173"/>
      <c r="S12" s="124"/>
      <c r="T12" s="124"/>
      <c r="U12" s="124"/>
      <c r="V12" s="125"/>
      <c r="W12" s="131"/>
      <c r="X12" s="124"/>
      <c r="Y12" s="127"/>
      <c r="Z12" s="128"/>
      <c r="AA12" s="129"/>
      <c r="AB12" s="129"/>
    </row>
    <row r="13" spans="1:31" ht="36" customHeight="1" x14ac:dyDescent="0.2">
      <c r="A13" s="107">
        <v>1</v>
      </c>
      <c r="B13" s="93"/>
      <c r="C13" s="97" t="s">
        <v>208</v>
      </c>
      <c r="D13" s="567" t="s">
        <v>656</v>
      </c>
      <c r="E13" s="470"/>
      <c r="F13" s="470"/>
      <c r="G13" s="470"/>
      <c r="H13" s="470"/>
      <c r="I13" s="470"/>
      <c r="J13" s="470"/>
      <c r="K13" s="470"/>
      <c r="L13" s="470"/>
      <c r="M13" s="470"/>
      <c r="N13" s="471"/>
      <c r="O13" s="71"/>
      <c r="P13" s="95" t="str">
        <f t="shared" ref="P13:P19" si="1">IF(O13="","",IF(O13="Yes","Pass",IF(O13="No","Fail","N/A")))</f>
        <v/>
      </c>
      <c r="Q13" s="173"/>
      <c r="R13" s="173"/>
      <c r="S13" s="124"/>
      <c r="T13" s="124"/>
      <c r="U13" s="124"/>
      <c r="V13" s="125"/>
      <c r="W13" s="131"/>
      <c r="X13" s="124"/>
      <c r="Y13" s="127"/>
      <c r="Z13" s="128"/>
      <c r="AA13" s="129"/>
      <c r="AB13" s="129"/>
    </row>
    <row r="14" spans="1:31" ht="46.5" customHeight="1" x14ac:dyDescent="0.2">
      <c r="A14" s="107" t="s">
        <v>70</v>
      </c>
      <c r="B14" s="93"/>
      <c r="C14" s="97" t="s">
        <v>209</v>
      </c>
      <c r="D14" s="567" t="s">
        <v>530</v>
      </c>
      <c r="E14" s="586"/>
      <c r="F14" s="586"/>
      <c r="G14" s="586"/>
      <c r="H14" s="586"/>
      <c r="I14" s="586"/>
      <c r="J14" s="586"/>
      <c r="K14" s="586"/>
      <c r="L14" s="586"/>
      <c r="M14" s="586"/>
      <c r="N14" s="587"/>
      <c r="O14" s="71"/>
      <c r="P14" s="95" t="str">
        <f t="shared" si="1"/>
        <v/>
      </c>
      <c r="Q14" s="173"/>
      <c r="R14" s="173"/>
      <c r="S14" s="124"/>
      <c r="T14" s="124"/>
      <c r="U14" s="124"/>
      <c r="V14" s="125"/>
      <c r="W14" s="131"/>
      <c r="X14" s="124"/>
      <c r="Y14" s="127"/>
      <c r="Z14" s="128"/>
      <c r="AA14" s="129"/>
      <c r="AB14" s="129"/>
    </row>
    <row r="15" spans="1:31" ht="49.5" customHeight="1" x14ac:dyDescent="0.2">
      <c r="A15" s="107">
        <v>1</v>
      </c>
      <c r="B15" s="93"/>
      <c r="C15" s="94" t="s">
        <v>210</v>
      </c>
      <c r="D15" s="567" t="s">
        <v>531</v>
      </c>
      <c r="E15" s="586"/>
      <c r="F15" s="586"/>
      <c r="G15" s="586"/>
      <c r="H15" s="586"/>
      <c r="I15" s="586"/>
      <c r="J15" s="586"/>
      <c r="K15" s="586"/>
      <c r="L15" s="586"/>
      <c r="M15" s="586"/>
      <c r="N15" s="587"/>
      <c r="O15" s="71"/>
      <c r="P15" s="95" t="str">
        <f t="shared" si="1"/>
        <v/>
      </c>
      <c r="Q15" s="173"/>
      <c r="R15" s="173"/>
      <c r="S15" s="124"/>
      <c r="T15" s="124"/>
      <c r="U15" s="124"/>
      <c r="V15" s="125"/>
      <c r="W15" s="131"/>
      <c r="X15" s="124"/>
      <c r="Y15" s="127"/>
      <c r="Z15" s="128"/>
      <c r="AA15" s="129"/>
      <c r="AB15" s="129"/>
    </row>
    <row r="16" spans="1:31" ht="66.75" customHeight="1" x14ac:dyDescent="0.2">
      <c r="A16" s="106">
        <v>1</v>
      </c>
      <c r="C16" s="97" t="s">
        <v>211</v>
      </c>
      <c r="D16" s="567" t="s">
        <v>532</v>
      </c>
      <c r="E16" s="586"/>
      <c r="F16" s="586"/>
      <c r="G16" s="586"/>
      <c r="H16" s="586"/>
      <c r="I16" s="586"/>
      <c r="J16" s="586"/>
      <c r="K16" s="586"/>
      <c r="L16" s="586"/>
      <c r="M16" s="586"/>
      <c r="N16" s="587"/>
      <c r="O16" s="71"/>
      <c r="P16" s="95" t="str">
        <f t="shared" si="1"/>
        <v/>
      </c>
      <c r="Q16" s="173"/>
      <c r="R16" s="173"/>
      <c r="S16" s="124"/>
      <c r="T16" s="124"/>
      <c r="U16" s="124"/>
      <c r="V16" s="125"/>
      <c r="W16" s="131"/>
      <c r="X16" s="124"/>
      <c r="Y16" s="127"/>
      <c r="Z16" s="128"/>
      <c r="AA16" s="129"/>
      <c r="AB16" s="129"/>
    </row>
    <row r="17" spans="1:28" ht="39" customHeight="1" x14ac:dyDescent="0.2">
      <c r="A17" s="107" t="s">
        <v>70</v>
      </c>
      <c r="B17" s="93"/>
      <c r="C17" s="97" t="s">
        <v>212</v>
      </c>
      <c r="D17" s="567" t="s">
        <v>533</v>
      </c>
      <c r="E17" s="586"/>
      <c r="F17" s="586"/>
      <c r="G17" s="586"/>
      <c r="H17" s="586"/>
      <c r="I17" s="586"/>
      <c r="J17" s="586"/>
      <c r="K17" s="586"/>
      <c r="L17" s="586"/>
      <c r="M17" s="586"/>
      <c r="N17" s="587"/>
      <c r="O17" s="71"/>
      <c r="P17" s="95" t="str">
        <f t="shared" si="1"/>
        <v/>
      </c>
      <c r="Q17" s="173"/>
      <c r="R17" s="173"/>
      <c r="S17" s="124"/>
      <c r="T17" s="124"/>
      <c r="U17" s="124"/>
      <c r="V17" s="125"/>
      <c r="W17" s="131"/>
      <c r="X17" s="124"/>
      <c r="Y17" s="127"/>
      <c r="Z17" s="128"/>
      <c r="AA17" s="129"/>
      <c r="AB17" s="129"/>
    </row>
    <row r="18" spans="1:28" ht="83.25" customHeight="1" x14ac:dyDescent="0.2">
      <c r="A18" s="107" t="s">
        <v>70</v>
      </c>
      <c r="B18" s="93"/>
      <c r="C18" s="94" t="s">
        <v>657</v>
      </c>
      <c r="D18" s="567" t="s">
        <v>534</v>
      </c>
      <c r="E18" s="586"/>
      <c r="F18" s="586"/>
      <c r="G18" s="586"/>
      <c r="H18" s="586"/>
      <c r="I18" s="586"/>
      <c r="J18" s="586"/>
      <c r="K18" s="586"/>
      <c r="L18" s="586"/>
      <c r="M18" s="586"/>
      <c r="N18" s="587"/>
      <c r="O18" s="71"/>
      <c r="P18" s="95" t="str">
        <f t="shared" si="1"/>
        <v/>
      </c>
      <c r="Q18" s="173"/>
      <c r="R18" s="173"/>
      <c r="S18" s="124"/>
      <c r="T18" s="124"/>
      <c r="U18" s="124"/>
      <c r="V18" s="125"/>
      <c r="W18" s="131"/>
      <c r="X18" s="124"/>
      <c r="Y18" s="127"/>
      <c r="Z18" s="128"/>
      <c r="AA18" s="129"/>
      <c r="AB18" s="129"/>
    </row>
    <row r="19" spans="1:28" ht="47.25" customHeight="1" x14ac:dyDescent="0.2">
      <c r="A19" s="107" t="s">
        <v>81</v>
      </c>
      <c r="B19" s="93"/>
      <c r="C19" s="391" t="s">
        <v>213</v>
      </c>
      <c r="D19" s="571" t="s">
        <v>535</v>
      </c>
      <c r="E19" s="572"/>
      <c r="F19" s="572"/>
      <c r="G19" s="572"/>
      <c r="H19" s="572"/>
      <c r="I19" s="572"/>
      <c r="J19" s="572"/>
      <c r="K19" s="572"/>
      <c r="L19" s="572"/>
      <c r="M19" s="572"/>
      <c r="N19" s="572"/>
      <c r="O19" s="71"/>
      <c r="P19" s="95" t="str">
        <f t="shared" si="1"/>
        <v/>
      </c>
      <c r="Q19" s="173"/>
      <c r="R19" s="173"/>
      <c r="S19" s="124"/>
      <c r="T19" s="124"/>
      <c r="U19" s="124"/>
      <c r="V19" s="125"/>
      <c r="W19" s="131"/>
      <c r="X19" s="124"/>
      <c r="Y19" s="127"/>
      <c r="Z19" s="128"/>
      <c r="AA19" s="129"/>
      <c r="AB19" s="129"/>
    </row>
    <row r="20" spans="1:28" ht="22.5" customHeight="1" x14ac:dyDescent="0.2">
      <c r="A20" s="106">
        <v>1</v>
      </c>
      <c r="B20" s="93"/>
      <c r="C20" s="575" t="s">
        <v>267</v>
      </c>
      <c r="D20" s="470"/>
      <c r="E20" s="470"/>
      <c r="F20" s="470"/>
      <c r="G20" s="470"/>
      <c r="H20" s="470"/>
      <c r="I20" s="470"/>
      <c r="J20" s="470"/>
      <c r="K20" s="470"/>
      <c r="L20" s="470"/>
      <c r="M20" s="470"/>
      <c r="N20" s="470"/>
      <c r="O20"/>
      <c r="P20" s="392"/>
      <c r="Q20" s="174"/>
      <c r="R20" s="174"/>
      <c r="S20" s="124"/>
      <c r="T20" s="124"/>
      <c r="U20" s="124"/>
      <c r="V20" s="125"/>
      <c r="W20" s="131"/>
      <c r="X20" s="124"/>
      <c r="Y20" s="127"/>
      <c r="Z20" s="128"/>
      <c r="AA20" s="129"/>
      <c r="AB20" s="129"/>
    </row>
    <row r="21" spans="1:28" ht="30.75" customHeight="1" x14ac:dyDescent="0.2">
      <c r="A21" s="107" t="s">
        <v>73</v>
      </c>
      <c r="C21" s="581" t="s">
        <v>17</v>
      </c>
      <c r="D21" s="470"/>
      <c r="E21" s="470"/>
      <c r="F21" s="470"/>
      <c r="G21" s="470"/>
      <c r="H21" s="470"/>
      <c r="I21" s="470"/>
      <c r="J21" s="470"/>
      <c r="K21" s="470"/>
      <c r="L21" s="470"/>
      <c r="M21" s="470"/>
      <c r="N21" s="471"/>
      <c r="O21" s="345"/>
      <c r="P21" s="343"/>
      <c r="Q21" s="172"/>
      <c r="R21" s="172"/>
      <c r="S21" s="124"/>
      <c r="T21" s="124"/>
      <c r="U21" s="124"/>
      <c r="V21" s="125"/>
      <c r="W21" s="131"/>
      <c r="X21" s="124"/>
      <c r="Y21" s="132"/>
      <c r="Z21" s="128"/>
      <c r="AA21" s="129"/>
      <c r="AB21" s="129"/>
    </row>
    <row r="22" spans="1:28" ht="18" customHeight="1" x14ac:dyDescent="0.25">
      <c r="C22" s="100" t="s">
        <v>264</v>
      </c>
      <c r="D22" s="573" t="s">
        <v>71</v>
      </c>
      <c r="E22" s="574"/>
      <c r="F22" s="574"/>
      <c r="G22" s="574"/>
      <c r="H22" s="574"/>
      <c r="I22" s="574"/>
      <c r="J22" s="574"/>
      <c r="K22" s="574"/>
      <c r="L22" s="574"/>
      <c r="M22" s="574"/>
      <c r="N22" s="440"/>
      <c r="O22" s="101" t="s">
        <v>265</v>
      </c>
      <c r="P22" s="101" t="s">
        <v>266</v>
      </c>
      <c r="Q22" s="359"/>
      <c r="R22" s="175"/>
      <c r="S22" s="124"/>
      <c r="T22" s="124"/>
      <c r="U22" s="124"/>
      <c r="V22" s="125"/>
      <c r="W22" s="131"/>
      <c r="X22" s="124"/>
      <c r="Y22" s="127"/>
      <c r="Z22" s="128"/>
      <c r="AA22" s="129"/>
      <c r="AB22" s="129"/>
    </row>
    <row r="23" spans="1:28" ht="18" customHeight="1" x14ac:dyDescent="0.2">
      <c r="A23" s="106">
        <v>1</v>
      </c>
      <c r="C23" s="102" t="s">
        <v>215</v>
      </c>
      <c r="D23" s="567" t="s">
        <v>268</v>
      </c>
      <c r="E23" s="470"/>
      <c r="F23" s="470"/>
      <c r="G23" s="470"/>
      <c r="H23" s="470"/>
      <c r="I23" s="470"/>
      <c r="J23" s="470"/>
      <c r="K23" s="470"/>
      <c r="L23" s="470"/>
      <c r="M23" s="470"/>
      <c r="N23" s="471"/>
      <c r="O23" s="71"/>
      <c r="P23" s="95" t="str">
        <f>IF(O23="","",IF(O23="Yes","Pass",IF(O23="No","Fail","N/A")))</f>
        <v/>
      </c>
      <c r="Q23" s="173"/>
      <c r="R23" s="173"/>
      <c r="S23" s="124"/>
      <c r="T23" s="124"/>
      <c r="U23" s="124"/>
      <c r="V23" s="125"/>
      <c r="W23" s="131"/>
      <c r="X23" s="124"/>
      <c r="Y23" s="127"/>
      <c r="Z23" s="128"/>
      <c r="AA23" s="129"/>
      <c r="AB23" s="129"/>
    </row>
    <row r="24" spans="1:28" ht="45" customHeight="1" x14ac:dyDescent="0.2">
      <c r="A24" s="107" t="s">
        <v>69</v>
      </c>
      <c r="C24" s="97" t="s">
        <v>216</v>
      </c>
      <c r="D24" s="567" t="s">
        <v>269</v>
      </c>
      <c r="E24" s="470"/>
      <c r="F24" s="470"/>
      <c r="G24" s="470"/>
      <c r="H24" s="470"/>
      <c r="I24" s="470"/>
      <c r="J24" s="470"/>
      <c r="K24" s="470"/>
      <c r="L24" s="470"/>
      <c r="M24" s="470"/>
      <c r="N24" s="471"/>
      <c r="O24" s="71"/>
      <c r="P24" s="95" t="str">
        <f>IF(O24="","",IF(O24="Yes","Pass",IF(O24="No","Fail","N/A")))</f>
        <v/>
      </c>
      <c r="Q24" s="173"/>
      <c r="R24" s="173"/>
      <c r="S24" s="124"/>
      <c r="T24" s="124"/>
      <c r="U24" s="124"/>
      <c r="V24" s="125"/>
      <c r="W24" s="131"/>
      <c r="X24" s="124"/>
      <c r="Y24" s="127"/>
      <c r="Z24" s="128"/>
      <c r="AA24" s="129"/>
      <c r="AB24" s="129"/>
    </row>
    <row r="25" spans="1:28" ht="45" customHeight="1" x14ac:dyDescent="0.2">
      <c r="A25" s="107" t="s">
        <v>69</v>
      </c>
      <c r="B25" s="93"/>
      <c r="C25" s="97" t="s">
        <v>217</v>
      </c>
      <c r="D25" s="567" t="s">
        <v>270</v>
      </c>
      <c r="E25" s="470"/>
      <c r="F25" s="470"/>
      <c r="G25" s="470"/>
      <c r="H25" s="470"/>
      <c r="I25" s="470"/>
      <c r="J25" s="470"/>
      <c r="K25" s="470"/>
      <c r="L25" s="470"/>
      <c r="M25" s="470"/>
      <c r="N25" s="471"/>
      <c r="O25" s="71"/>
      <c r="P25" s="95" t="str">
        <f>IF(O25="","",IF(O25="Yes","Pass",IF(O25="No","Fail","N/A")))</f>
        <v/>
      </c>
      <c r="Q25" s="173"/>
      <c r="R25" s="173"/>
      <c r="S25" s="124"/>
      <c r="T25" s="124"/>
      <c r="U25" s="124"/>
      <c r="V25" s="125"/>
      <c r="W25" s="131"/>
      <c r="X25" s="124"/>
      <c r="Y25" s="127"/>
      <c r="Z25" s="128"/>
      <c r="AA25" s="129"/>
      <c r="AB25" s="129"/>
    </row>
    <row r="26" spans="1:28" ht="51.75" customHeight="1" x14ac:dyDescent="0.2">
      <c r="A26" s="107" t="s">
        <v>69</v>
      </c>
      <c r="B26" s="93"/>
      <c r="C26" s="97" t="s">
        <v>218</v>
      </c>
      <c r="D26" s="567" t="s">
        <v>271</v>
      </c>
      <c r="E26" s="470"/>
      <c r="F26" s="470"/>
      <c r="G26" s="470"/>
      <c r="H26" s="470"/>
      <c r="I26" s="470"/>
      <c r="J26" s="470"/>
      <c r="K26" s="470"/>
      <c r="L26" s="470"/>
      <c r="M26" s="470"/>
      <c r="N26" s="470"/>
      <c r="O26" s="71"/>
      <c r="P26" s="95" t="str">
        <f>IF(O26="","",IF(O26="Yes","Pass",IF(O26="No","Fail","N/A")))</f>
        <v/>
      </c>
      <c r="Q26" s="173"/>
      <c r="R26" s="173"/>
      <c r="S26" s="124"/>
      <c r="T26" s="124"/>
      <c r="U26" s="124"/>
      <c r="V26" s="125"/>
      <c r="W26" s="131"/>
      <c r="X26" s="124"/>
      <c r="Y26" s="127"/>
      <c r="Z26" s="128"/>
      <c r="AA26" s="129"/>
      <c r="AB26" s="129"/>
    </row>
    <row r="27" spans="1:28" ht="22.5" customHeight="1" x14ac:dyDescent="0.2">
      <c r="A27" s="106">
        <v>1</v>
      </c>
      <c r="B27" s="93"/>
      <c r="C27" s="580" t="s">
        <v>272</v>
      </c>
      <c r="D27" s="470"/>
      <c r="E27" s="470"/>
      <c r="F27" s="470"/>
      <c r="G27" s="470"/>
      <c r="H27" s="470"/>
      <c r="I27" s="470"/>
      <c r="J27" s="470"/>
      <c r="K27" s="470"/>
      <c r="L27" s="470"/>
      <c r="M27" s="470"/>
      <c r="N27" s="470"/>
      <c r="O27" s="341"/>
      <c r="Q27" s="123"/>
      <c r="R27" s="123"/>
      <c r="S27" s="124"/>
      <c r="T27" s="124"/>
      <c r="U27" s="124"/>
      <c r="V27" s="125"/>
      <c r="W27" s="131"/>
      <c r="X27" s="124"/>
      <c r="Y27" s="127"/>
      <c r="Z27" s="128"/>
      <c r="AA27" s="129"/>
      <c r="AB27" s="129"/>
    </row>
    <row r="28" spans="1:28" ht="29.25" customHeight="1" x14ac:dyDescent="0.2">
      <c r="A28" s="107" t="s">
        <v>73</v>
      </c>
      <c r="C28" s="581" t="s">
        <v>17</v>
      </c>
      <c r="D28" s="470"/>
      <c r="E28" s="470"/>
      <c r="F28" s="470"/>
      <c r="G28" s="470"/>
      <c r="H28" s="470"/>
      <c r="I28" s="470"/>
      <c r="J28" s="470"/>
      <c r="K28" s="470"/>
      <c r="L28" s="470"/>
      <c r="M28" s="470"/>
      <c r="N28" s="470"/>
      <c r="O28" s="345"/>
      <c r="P28" s="340"/>
      <c r="Q28" s="123"/>
      <c r="R28" s="123"/>
      <c r="S28" s="124"/>
      <c r="T28" s="124"/>
      <c r="U28" s="124"/>
      <c r="V28" s="125"/>
      <c r="W28" s="131"/>
      <c r="X28" s="133"/>
      <c r="Y28" s="132"/>
      <c r="Z28" s="128"/>
      <c r="AA28" s="129"/>
      <c r="AB28" s="129"/>
    </row>
    <row r="29" spans="1:28" ht="24" customHeight="1" x14ac:dyDescent="0.25">
      <c r="C29" s="100" t="s">
        <v>264</v>
      </c>
      <c r="D29" s="573" t="s">
        <v>465</v>
      </c>
      <c r="E29" s="574"/>
      <c r="F29" s="574"/>
      <c r="G29" s="574"/>
      <c r="H29" s="574"/>
      <c r="I29" s="574"/>
      <c r="J29" s="574"/>
      <c r="K29" s="574"/>
      <c r="L29" s="574"/>
      <c r="M29" s="574"/>
      <c r="N29" s="574"/>
      <c r="O29" s="101" t="s">
        <v>265</v>
      </c>
      <c r="P29" s="101" t="s">
        <v>266</v>
      </c>
      <c r="Q29" s="359"/>
      <c r="R29" s="175"/>
      <c r="S29" s="124"/>
      <c r="T29" s="124"/>
      <c r="U29" s="124"/>
      <c r="V29" s="125"/>
      <c r="W29" s="131"/>
      <c r="X29" s="133"/>
      <c r="Y29" s="132"/>
      <c r="Z29" s="128"/>
      <c r="AA29" s="129"/>
      <c r="AB29" s="129"/>
    </row>
    <row r="30" spans="1:28" ht="66" customHeight="1" x14ac:dyDescent="0.2">
      <c r="A30" s="107" t="s">
        <v>69</v>
      </c>
      <c r="C30" s="102" t="s">
        <v>466</v>
      </c>
      <c r="D30" s="567" t="s">
        <v>467</v>
      </c>
      <c r="E30" s="572"/>
      <c r="F30" s="572"/>
      <c r="G30" s="572"/>
      <c r="H30" s="572"/>
      <c r="I30" s="572"/>
      <c r="J30" s="572"/>
      <c r="K30" s="572"/>
      <c r="L30" s="572"/>
      <c r="M30" s="572"/>
      <c r="N30" s="572"/>
      <c r="O30" s="71"/>
      <c r="P30" s="95" t="str">
        <f t="shared" ref="P30:P31" si="2">IF(O30="","",IF(O30="Yes","Pass",IF(O30="No","Fail","N/A")))</f>
        <v/>
      </c>
      <c r="Q30" s="173"/>
      <c r="R30" s="173"/>
      <c r="S30" s="124"/>
      <c r="T30" s="124"/>
      <c r="U30" s="124"/>
      <c r="V30" s="125"/>
      <c r="W30" s="131"/>
      <c r="X30" s="133"/>
      <c r="Y30" s="132"/>
      <c r="Z30" s="128"/>
      <c r="AA30" s="129"/>
      <c r="AB30" s="129"/>
    </row>
    <row r="31" spans="1:28" ht="33.75" customHeight="1" x14ac:dyDescent="0.2">
      <c r="A31" s="107" t="s">
        <v>73</v>
      </c>
      <c r="B31" s="93"/>
      <c r="C31" s="102" t="s">
        <v>471</v>
      </c>
      <c r="D31" s="579" t="s">
        <v>468</v>
      </c>
      <c r="E31" s="572"/>
      <c r="F31" s="572"/>
      <c r="G31" s="572"/>
      <c r="H31" s="572"/>
      <c r="I31" s="572"/>
      <c r="J31" s="572"/>
      <c r="K31" s="572"/>
      <c r="L31" s="572"/>
      <c r="M31" s="572"/>
      <c r="N31" s="572"/>
      <c r="O31" s="71"/>
      <c r="P31" s="95" t="str">
        <f t="shared" si="2"/>
        <v/>
      </c>
      <c r="Q31" s="173"/>
      <c r="R31" s="173"/>
      <c r="S31" s="124"/>
      <c r="T31" s="124"/>
      <c r="U31" s="124"/>
      <c r="V31" s="125"/>
      <c r="W31" s="131"/>
      <c r="X31" s="133"/>
      <c r="Y31" s="132"/>
      <c r="Z31" s="128"/>
      <c r="AA31" s="129"/>
      <c r="AB31" s="129"/>
    </row>
    <row r="32" spans="1:28" ht="45" customHeight="1" x14ac:dyDescent="0.2">
      <c r="A32" s="107" t="s">
        <v>69</v>
      </c>
      <c r="B32" s="93"/>
      <c r="C32" s="102" t="s">
        <v>472</v>
      </c>
      <c r="D32" s="579" t="s">
        <v>469</v>
      </c>
      <c r="E32" s="572"/>
      <c r="F32" s="572"/>
      <c r="G32" s="572"/>
      <c r="H32" s="572"/>
      <c r="I32" s="572"/>
      <c r="J32" s="572"/>
      <c r="K32" s="572"/>
      <c r="L32" s="572"/>
      <c r="M32" s="572"/>
      <c r="N32" s="572"/>
      <c r="O32" s="71"/>
      <c r="P32" s="95" t="str">
        <f>IF(O32="","",IF(O32="Yes","Pass",IF(O32="No","Fail","N/A")))</f>
        <v/>
      </c>
      <c r="Q32" s="173"/>
      <c r="R32" s="173"/>
      <c r="S32" s="124"/>
      <c r="T32" s="124"/>
      <c r="U32" s="124"/>
      <c r="V32" s="125"/>
      <c r="W32" s="131"/>
      <c r="X32" s="133"/>
      <c r="Y32" s="132"/>
      <c r="Z32" s="128"/>
      <c r="AA32" s="129"/>
      <c r="AB32" s="129"/>
    </row>
    <row r="33" spans="1:28" ht="30" customHeight="1" x14ac:dyDescent="0.2">
      <c r="A33" s="107" t="s">
        <v>70</v>
      </c>
      <c r="B33" s="93"/>
      <c r="C33" s="102" t="s">
        <v>473</v>
      </c>
      <c r="D33" s="579" t="s">
        <v>470</v>
      </c>
      <c r="E33" s="572"/>
      <c r="F33" s="572"/>
      <c r="G33" s="572"/>
      <c r="H33" s="572"/>
      <c r="I33" s="572"/>
      <c r="J33" s="572"/>
      <c r="K33" s="572"/>
      <c r="L33" s="572"/>
      <c r="M33" s="572"/>
      <c r="N33" s="572"/>
      <c r="O33" s="71"/>
      <c r="P33" s="95" t="str">
        <f>IF(O33="","",IF(O33="Yes","Pass",IF(O33="No","Fail","N/A")))</f>
        <v/>
      </c>
      <c r="Q33" s="173"/>
      <c r="R33" s="173"/>
      <c r="S33" s="124"/>
      <c r="T33" s="124"/>
      <c r="U33" s="124"/>
      <c r="V33" s="125"/>
      <c r="W33" s="131"/>
      <c r="X33" s="133"/>
      <c r="Y33" s="132"/>
      <c r="Z33" s="128"/>
      <c r="AA33" s="129"/>
      <c r="AB33" s="129"/>
    </row>
    <row r="34" spans="1:28" ht="24" customHeight="1" x14ac:dyDescent="0.2">
      <c r="A34" s="107" t="s">
        <v>69</v>
      </c>
      <c r="B34" s="93"/>
      <c r="C34" s="580" t="s">
        <v>545</v>
      </c>
      <c r="D34" s="470"/>
      <c r="E34" s="470"/>
      <c r="F34" s="470"/>
      <c r="G34" s="470"/>
      <c r="H34" s="470"/>
      <c r="I34" s="470"/>
      <c r="J34" s="470"/>
      <c r="K34" s="470"/>
      <c r="L34" s="470"/>
      <c r="M34" s="470"/>
      <c r="N34" s="470"/>
      <c r="O34" s="341"/>
      <c r="Q34" s="359"/>
      <c r="S34" s="124"/>
      <c r="T34" s="124"/>
      <c r="U34" s="124"/>
      <c r="V34" s="125"/>
      <c r="W34" s="131"/>
      <c r="X34" s="133"/>
      <c r="Y34" s="132"/>
      <c r="Z34" s="128"/>
      <c r="AA34" s="129"/>
      <c r="AB34" s="129"/>
    </row>
    <row r="35" spans="1:28" ht="27.75" customHeight="1" x14ac:dyDescent="0.2">
      <c r="A35" s="107" t="s">
        <v>69</v>
      </c>
      <c r="B35" s="93"/>
      <c r="C35" s="581" t="s">
        <v>17</v>
      </c>
      <c r="D35" s="470"/>
      <c r="E35" s="470"/>
      <c r="F35" s="470"/>
      <c r="G35" s="470"/>
      <c r="H35" s="470"/>
      <c r="I35" s="470"/>
      <c r="J35" s="470"/>
      <c r="K35" s="470"/>
      <c r="L35" s="470"/>
      <c r="M35" s="470"/>
      <c r="N35" s="470"/>
      <c r="O35" s="345"/>
      <c r="Q35" s="173"/>
      <c r="R35"/>
      <c r="U35"/>
      <c r="V35"/>
      <c r="W35"/>
      <c r="X35"/>
      <c r="Y35"/>
      <c r="Z35"/>
      <c r="AA35"/>
      <c r="AB35"/>
    </row>
    <row r="36" spans="1:28" ht="24.75" customHeight="1" x14ac:dyDescent="0.25">
      <c r="A36" s="107" t="s">
        <v>70</v>
      </c>
      <c r="B36" s="93"/>
      <c r="C36" s="100" t="s">
        <v>264</v>
      </c>
      <c r="D36" s="573" t="s">
        <v>72</v>
      </c>
      <c r="E36" s="574"/>
      <c r="F36" s="574"/>
      <c r="G36" s="574"/>
      <c r="H36" s="574"/>
      <c r="I36" s="574"/>
      <c r="J36" s="574"/>
      <c r="K36" s="574"/>
      <c r="L36" s="574"/>
      <c r="M36" s="574"/>
      <c r="N36" s="440"/>
      <c r="O36" s="101" t="s">
        <v>265</v>
      </c>
      <c r="P36" s="101" t="s">
        <v>266</v>
      </c>
      <c r="Q36" s="173"/>
      <c r="R36"/>
      <c r="U36"/>
      <c r="V36"/>
      <c r="W36"/>
      <c r="X36"/>
      <c r="Y36"/>
      <c r="Z36"/>
      <c r="AA36"/>
      <c r="AB36"/>
    </row>
    <row r="37" spans="1:28" ht="31.5" customHeight="1" x14ac:dyDescent="0.2">
      <c r="A37" s="107" t="s">
        <v>73</v>
      </c>
      <c r="B37" s="93"/>
      <c r="C37" s="103" t="s">
        <v>220</v>
      </c>
      <c r="D37" s="445" t="s">
        <v>544</v>
      </c>
      <c r="E37" s="568"/>
      <c r="F37" s="568"/>
      <c r="G37" s="568"/>
      <c r="H37" s="568"/>
      <c r="I37" s="568"/>
      <c r="J37" s="568"/>
      <c r="K37" s="568"/>
      <c r="L37" s="568"/>
      <c r="M37" s="568"/>
      <c r="N37" s="569"/>
      <c r="O37" s="71"/>
      <c r="P37" s="95" t="str">
        <f>IF(O37="","",IF(O37="Yes","Pass",IF(O37="No","Fail","N/A")))</f>
        <v/>
      </c>
      <c r="Q37" s="173"/>
      <c r="R37"/>
      <c r="U37"/>
      <c r="V37"/>
      <c r="W37"/>
      <c r="X37"/>
      <c r="Y37"/>
      <c r="Z37"/>
      <c r="AA37"/>
      <c r="AB37"/>
    </row>
    <row r="38" spans="1:28" ht="30" customHeight="1" x14ac:dyDescent="0.2">
      <c r="A38" s="107" t="s">
        <v>70</v>
      </c>
      <c r="B38" s="93"/>
      <c r="C38" s="185"/>
      <c r="D38" s="296" t="s">
        <v>351</v>
      </c>
      <c r="E38" s="297"/>
      <c r="F38" s="298"/>
      <c r="G38" s="299"/>
      <c r="I38" s="300" t="s">
        <v>352</v>
      </c>
      <c r="J38" s="299"/>
      <c r="K38" s="301" t="s">
        <v>353</v>
      </c>
      <c r="L38" s="191"/>
      <c r="M38" s="302"/>
      <c r="N38" s="303" t="e">
        <f>J38/G38</f>
        <v>#DIV/0!</v>
      </c>
      <c r="Q38" s="173"/>
      <c r="R38"/>
      <c r="U38"/>
      <c r="V38"/>
      <c r="W38"/>
      <c r="X38"/>
      <c r="Y38"/>
      <c r="Z38"/>
      <c r="AA38"/>
      <c r="AB38"/>
    </row>
    <row r="39" spans="1:28" ht="38.25" customHeight="1" x14ac:dyDescent="0.2">
      <c r="A39" s="107" t="s">
        <v>73</v>
      </c>
      <c r="B39" s="93"/>
      <c r="C39" s="97" t="s">
        <v>133</v>
      </c>
      <c r="D39" s="579" t="s">
        <v>645</v>
      </c>
      <c r="E39" s="572"/>
      <c r="F39" s="572"/>
      <c r="G39" s="572"/>
      <c r="H39" s="572"/>
      <c r="I39" s="572"/>
      <c r="J39" s="572"/>
      <c r="K39" s="572"/>
      <c r="L39" s="572"/>
      <c r="M39" s="572"/>
      <c r="N39" s="572"/>
      <c r="O39" s="71"/>
      <c r="P39" s="95" t="str">
        <f t="shared" ref="P39:P49" si="3">IF(O39="","",IF(O39="Yes","Pass",IF(O39="No","Fail","N/A")))</f>
        <v/>
      </c>
      <c r="Q39" s="173"/>
      <c r="R39"/>
      <c r="U39"/>
      <c r="V39"/>
      <c r="W39"/>
      <c r="X39"/>
      <c r="Y39"/>
      <c r="Z39"/>
      <c r="AA39"/>
      <c r="AB39"/>
    </row>
    <row r="40" spans="1:28" ht="30" customHeight="1" x14ac:dyDescent="0.2">
      <c r="A40" s="107" t="s">
        <v>70</v>
      </c>
      <c r="B40" s="93"/>
      <c r="C40" s="97" t="s">
        <v>221</v>
      </c>
      <c r="D40" s="579" t="s">
        <v>536</v>
      </c>
      <c r="E40" s="470"/>
      <c r="F40" s="470"/>
      <c r="G40" s="470"/>
      <c r="H40" s="470"/>
      <c r="I40" s="470"/>
      <c r="J40" s="470"/>
      <c r="K40" s="470"/>
      <c r="L40" s="470"/>
      <c r="M40" s="470"/>
      <c r="N40" s="470"/>
      <c r="O40" s="71"/>
      <c r="P40" s="95" t="str">
        <f t="shared" si="3"/>
        <v/>
      </c>
      <c r="Q40" s="173"/>
      <c r="R40"/>
      <c r="U40"/>
      <c r="V40"/>
      <c r="W40"/>
      <c r="X40"/>
      <c r="Y40"/>
      <c r="Z40"/>
      <c r="AA40"/>
      <c r="AB40"/>
    </row>
    <row r="41" spans="1:28" ht="41.25" customHeight="1" x14ac:dyDescent="0.2">
      <c r="A41" s="107">
        <v>1</v>
      </c>
      <c r="B41" s="93"/>
      <c r="C41" s="103" t="s">
        <v>222</v>
      </c>
      <c r="D41" s="445" t="s">
        <v>537</v>
      </c>
      <c r="E41" s="568"/>
      <c r="F41" s="568"/>
      <c r="G41" s="568"/>
      <c r="H41" s="568"/>
      <c r="I41" s="568"/>
      <c r="J41" s="568"/>
      <c r="K41" s="568"/>
      <c r="L41" s="568"/>
      <c r="M41" s="568"/>
      <c r="N41" s="569"/>
      <c r="O41" s="71"/>
      <c r="P41" s="95" t="str">
        <f t="shared" si="3"/>
        <v/>
      </c>
      <c r="Q41" s="173"/>
      <c r="R41"/>
      <c r="U41"/>
      <c r="V41"/>
      <c r="W41"/>
      <c r="X41"/>
      <c r="Y41"/>
      <c r="Z41"/>
      <c r="AA41"/>
      <c r="AB41"/>
    </row>
    <row r="42" spans="1:28" ht="34.5" customHeight="1" x14ac:dyDescent="0.2">
      <c r="A42" s="107"/>
      <c r="B42" s="93"/>
      <c r="C42" s="97" t="s">
        <v>223</v>
      </c>
      <c r="D42" s="445" t="s">
        <v>538</v>
      </c>
      <c r="E42" s="568"/>
      <c r="F42" s="568"/>
      <c r="G42" s="568"/>
      <c r="H42" s="568"/>
      <c r="I42" s="568"/>
      <c r="J42" s="568"/>
      <c r="K42" s="568"/>
      <c r="L42" s="568"/>
      <c r="M42" s="568"/>
      <c r="N42" s="569"/>
      <c r="O42" s="71"/>
      <c r="P42" s="95" t="str">
        <f t="shared" si="3"/>
        <v/>
      </c>
      <c r="Q42" s="173"/>
      <c r="R42"/>
      <c r="U42"/>
      <c r="V42"/>
      <c r="W42"/>
      <c r="X42"/>
      <c r="Y42"/>
      <c r="Z42"/>
      <c r="AA42"/>
      <c r="AB42"/>
    </row>
    <row r="43" spans="1:28" ht="33" customHeight="1" x14ac:dyDescent="0.2">
      <c r="A43" s="106">
        <v>1</v>
      </c>
      <c r="B43" s="93"/>
      <c r="C43" s="97" t="s">
        <v>224</v>
      </c>
      <c r="D43" s="445" t="s">
        <v>273</v>
      </c>
      <c r="E43" s="568"/>
      <c r="F43" s="568"/>
      <c r="G43" s="568"/>
      <c r="H43" s="568"/>
      <c r="I43" s="568"/>
      <c r="J43" s="568"/>
      <c r="K43" s="568"/>
      <c r="L43" s="568"/>
      <c r="M43" s="568"/>
      <c r="N43" s="569"/>
      <c r="O43" s="71"/>
      <c r="P43" s="95" t="str">
        <f t="shared" si="3"/>
        <v/>
      </c>
      <c r="Q43" s="173"/>
      <c r="R43"/>
      <c r="U43"/>
      <c r="V43"/>
      <c r="W43"/>
      <c r="X43"/>
      <c r="Y43"/>
      <c r="Z43"/>
      <c r="AA43"/>
      <c r="AB43"/>
    </row>
    <row r="44" spans="1:28" ht="35.25" customHeight="1" x14ac:dyDescent="0.2">
      <c r="A44" s="107" t="s">
        <v>73</v>
      </c>
      <c r="C44" s="103" t="s">
        <v>225</v>
      </c>
      <c r="D44" s="567" t="s">
        <v>274</v>
      </c>
      <c r="E44" s="470"/>
      <c r="F44" s="470"/>
      <c r="G44" s="470"/>
      <c r="H44" s="470"/>
      <c r="I44" s="470"/>
      <c r="J44" s="470"/>
      <c r="K44" s="470"/>
      <c r="L44" s="470"/>
      <c r="M44" s="470"/>
      <c r="N44" s="470"/>
      <c r="O44" s="71"/>
      <c r="P44" s="95" t="str">
        <f t="shared" si="3"/>
        <v/>
      </c>
      <c r="Q44" s="173"/>
      <c r="R44"/>
      <c r="U44"/>
      <c r="V44"/>
      <c r="W44"/>
      <c r="X44"/>
      <c r="Y44"/>
      <c r="Z44"/>
      <c r="AA44"/>
      <c r="AB44"/>
    </row>
    <row r="45" spans="1:28" ht="35.25" customHeight="1" x14ac:dyDescent="0.2">
      <c r="B45" s="93"/>
      <c r="C45" s="97" t="s">
        <v>226</v>
      </c>
      <c r="D45" s="445" t="s">
        <v>275</v>
      </c>
      <c r="E45" s="568"/>
      <c r="F45" s="568"/>
      <c r="G45" s="568"/>
      <c r="H45" s="568"/>
      <c r="I45" s="568"/>
      <c r="J45" s="568"/>
      <c r="K45" s="568"/>
      <c r="L45" s="568"/>
      <c r="M45" s="568"/>
      <c r="N45" s="569"/>
      <c r="O45" s="71"/>
      <c r="P45" s="95" t="str">
        <f t="shared" si="3"/>
        <v/>
      </c>
      <c r="Q45" s="173"/>
      <c r="R45"/>
      <c r="U45"/>
      <c r="V45"/>
      <c r="W45"/>
      <c r="X45"/>
      <c r="Y45"/>
      <c r="Z45"/>
      <c r="AA45"/>
      <c r="AB45"/>
    </row>
    <row r="46" spans="1:28" ht="18" customHeight="1" x14ac:dyDescent="0.2">
      <c r="C46" s="97" t="s">
        <v>227</v>
      </c>
      <c r="D46" s="445" t="s">
        <v>276</v>
      </c>
      <c r="E46" s="570"/>
      <c r="F46" s="570"/>
      <c r="G46" s="570"/>
      <c r="H46" s="570"/>
      <c r="I46" s="570"/>
      <c r="J46" s="570"/>
      <c r="K46" s="570"/>
      <c r="L46" s="570"/>
      <c r="M46" s="570"/>
      <c r="N46" s="570"/>
      <c r="O46" s="71"/>
      <c r="P46" s="95" t="str">
        <f t="shared" si="3"/>
        <v/>
      </c>
      <c r="Q46" s="173"/>
      <c r="R46"/>
      <c r="U46"/>
      <c r="V46"/>
      <c r="W46"/>
      <c r="X46"/>
      <c r="Y46"/>
      <c r="Z46"/>
      <c r="AA46"/>
      <c r="AB46"/>
    </row>
    <row r="47" spans="1:28" ht="35.25" customHeight="1" x14ac:dyDescent="0.2">
      <c r="A47" s="106">
        <v>1</v>
      </c>
      <c r="C47" s="103" t="s">
        <v>228</v>
      </c>
      <c r="D47" s="445" t="s">
        <v>277</v>
      </c>
      <c r="E47" s="568"/>
      <c r="F47" s="568"/>
      <c r="G47" s="568"/>
      <c r="H47" s="568"/>
      <c r="I47" s="568"/>
      <c r="J47" s="568"/>
      <c r="K47" s="568"/>
      <c r="L47" s="568"/>
      <c r="M47" s="568"/>
      <c r="N47" s="569"/>
      <c r="O47" s="71"/>
      <c r="P47" s="95" t="str">
        <f t="shared" si="3"/>
        <v/>
      </c>
      <c r="R47"/>
      <c r="U47"/>
      <c r="V47"/>
      <c r="W47"/>
      <c r="X47"/>
      <c r="Y47"/>
      <c r="Z47"/>
      <c r="AA47"/>
      <c r="AB47"/>
    </row>
    <row r="48" spans="1:28" ht="57.75" customHeight="1" x14ac:dyDescent="0.2">
      <c r="A48" s="107" t="s">
        <v>69</v>
      </c>
      <c r="C48" s="97" t="s">
        <v>229</v>
      </c>
      <c r="D48" s="565" t="s">
        <v>539</v>
      </c>
      <c r="E48" s="566"/>
      <c r="F48" s="566"/>
      <c r="G48" s="566"/>
      <c r="H48" s="566"/>
      <c r="I48" s="566"/>
      <c r="J48" s="566"/>
      <c r="K48" s="566"/>
      <c r="L48" s="566"/>
      <c r="M48" s="566"/>
      <c r="N48" s="566"/>
      <c r="O48" s="71"/>
      <c r="P48" s="95" t="str">
        <f t="shared" si="3"/>
        <v/>
      </c>
      <c r="Q48" s="171"/>
      <c r="R48"/>
      <c r="U48"/>
      <c r="V48"/>
      <c r="W48"/>
      <c r="X48"/>
      <c r="Y48"/>
      <c r="Z48"/>
      <c r="AA48"/>
      <c r="AB48"/>
    </row>
    <row r="49" spans="1:28" ht="39" customHeight="1" x14ac:dyDescent="0.2">
      <c r="A49" s="106">
        <v>1</v>
      </c>
      <c r="B49" s="93"/>
      <c r="C49" s="97" t="s">
        <v>230</v>
      </c>
      <c r="D49" s="567" t="s">
        <v>540</v>
      </c>
      <c r="E49" s="470"/>
      <c r="F49" s="470"/>
      <c r="G49" s="470"/>
      <c r="H49" s="470"/>
      <c r="I49" s="470"/>
      <c r="J49" s="470"/>
      <c r="K49" s="470"/>
      <c r="L49" s="470"/>
      <c r="M49" s="470"/>
      <c r="N49" s="471"/>
      <c r="O49" s="71"/>
      <c r="P49" s="95" t="str">
        <f t="shared" si="3"/>
        <v/>
      </c>
      <c r="Q49" s="123"/>
      <c r="R49"/>
      <c r="U49"/>
      <c r="V49"/>
      <c r="W49"/>
      <c r="X49"/>
      <c r="Y49"/>
      <c r="Z49"/>
      <c r="AA49"/>
      <c r="AB49"/>
    </row>
    <row r="50" spans="1:28" ht="19.5" customHeight="1" x14ac:dyDescent="0.2">
      <c r="A50" s="107" t="s">
        <v>73</v>
      </c>
      <c r="C50" s="580" t="s">
        <v>278</v>
      </c>
      <c r="D50" s="470"/>
      <c r="E50" s="470"/>
      <c r="F50" s="470"/>
      <c r="G50" s="470"/>
      <c r="H50" s="470"/>
      <c r="I50" s="470"/>
      <c r="J50" s="470"/>
      <c r="K50" s="470"/>
      <c r="L50" s="470"/>
      <c r="M50" s="470"/>
      <c r="N50" s="470"/>
      <c r="O50" s="347"/>
      <c r="P50" s="344"/>
      <c r="Q50" s="99"/>
      <c r="R50"/>
      <c r="U50"/>
      <c r="V50"/>
      <c r="W50"/>
      <c r="X50"/>
      <c r="Y50"/>
      <c r="Z50"/>
      <c r="AA50"/>
      <c r="AB50"/>
    </row>
    <row r="51" spans="1:28" ht="25.5" customHeight="1" x14ac:dyDescent="0.2">
      <c r="A51" s="107" t="s">
        <v>69</v>
      </c>
      <c r="B51" s="93"/>
      <c r="C51" s="581" t="s">
        <v>17</v>
      </c>
      <c r="D51" s="470"/>
      <c r="E51" s="470"/>
      <c r="F51" s="470"/>
      <c r="G51" s="470"/>
      <c r="H51" s="470"/>
      <c r="I51" s="470"/>
      <c r="J51" s="470"/>
      <c r="K51" s="470"/>
      <c r="L51" s="470"/>
      <c r="M51" s="470"/>
      <c r="N51" s="470"/>
      <c r="O51" s="345"/>
      <c r="Q51" s="359"/>
      <c r="R51"/>
      <c r="U51"/>
      <c r="V51"/>
      <c r="W51"/>
      <c r="X51"/>
      <c r="Y51"/>
      <c r="Z51"/>
      <c r="AA51"/>
      <c r="AB51"/>
    </row>
    <row r="52" spans="1:28" ht="21.75" customHeight="1" x14ac:dyDescent="0.25">
      <c r="A52" s="106">
        <v>1</v>
      </c>
      <c r="B52" s="93"/>
      <c r="C52" s="100" t="s">
        <v>264</v>
      </c>
      <c r="D52" s="576" t="s">
        <v>74</v>
      </c>
      <c r="E52" s="577"/>
      <c r="F52" s="577"/>
      <c r="G52" s="577"/>
      <c r="H52" s="577"/>
      <c r="I52" s="577"/>
      <c r="J52" s="577"/>
      <c r="K52" s="577"/>
      <c r="L52" s="577"/>
      <c r="M52" s="577"/>
      <c r="N52" s="578"/>
      <c r="O52" s="101" t="s">
        <v>265</v>
      </c>
      <c r="P52" s="101" t="s">
        <v>266</v>
      </c>
      <c r="Q52" s="173"/>
      <c r="R52"/>
      <c r="U52"/>
      <c r="V52"/>
      <c r="W52"/>
      <c r="X52"/>
      <c r="Y52"/>
      <c r="Z52"/>
      <c r="AA52"/>
      <c r="AB52"/>
    </row>
    <row r="53" spans="1:28" ht="34.5" customHeight="1" x14ac:dyDescent="0.2">
      <c r="A53" s="106">
        <v>1</v>
      </c>
      <c r="C53" s="94" t="s">
        <v>232</v>
      </c>
      <c r="D53" s="601" t="s">
        <v>279</v>
      </c>
      <c r="E53" s="595"/>
      <c r="F53" s="595"/>
      <c r="G53" s="595"/>
      <c r="H53" s="595"/>
      <c r="I53" s="595"/>
      <c r="J53" s="595"/>
      <c r="K53" s="595"/>
      <c r="L53" s="595"/>
      <c r="M53" s="595"/>
      <c r="N53" s="595"/>
      <c r="O53" s="71"/>
      <c r="P53" s="95" t="str">
        <f t="shared" ref="P53:P60" si="4">IF(O53="","",IF(O53="Yes","Pass",IF(O53="No","Fail","N/A")))</f>
        <v/>
      </c>
      <c r="Q53" s="173"/>
      <c r="R53"/>
      <c r="U53"/>
      <c r="V53"/>
      <c r="W53"/>
      <c r="X53"/>
      <c r="Y53"/>
      <c r="Z53"/>
      <c r="AA53"/>
      <c r="AB53"/>
    </row>
    <row r="54" spans="1:28" ht="60.75" customHeight="1" x14ac:dyDescent="0.2">
      <c r="A54" s="106">
        <v>1</v>
      </c>
      <c r="C54" s="94" t="s">
        <v>233</v>
      </c>
      <c r="D54" s="601" t="s">
        <v>457</v>
      </c>
      <c r="E54" s="605"/>
      <c r="F54" s="605"/>
      <c r="G54" s="605"/>
      <c r="H54" s="605"/>
      <c r="I54" s="605"/>
      <c r="J54" s="605"/>
      <c r="K54" s="605"/>
      <c r="L54" s="605"/>
      <c r="M54" s="605"/>
      <c r="N54" s="606"/>
      <c r="O54" s="71"/>
      <c r="P54" s="95" t="str">
        <f t="shared" si="4"/>
        <v/>
      </c>
      <c r="Q54" s="173"/>
      <c r="R54"/>
      <c r="U54"/>
      <c r="V54"/>
      <c r="W54"/>
      <c r="X54"/>
      <c r="Y54"/>
      <c r="Z54"/>
      <c r="AA54"/>
      <c r="AB54"/>
    </row>
    <row r="55" spans="1:28" ht="38.25" customHeight="1" x14ac:dyDescent="0.2">
      <c r="A55" s="106">
        <v>1</v>
      </c>
      <c r="B55" s="107" t="s">
        <v>70</v>
      </c>
      <c r="C55" s="94" t="s">
        <v>458</v>
      </c>
      <c r="D55" s="602" t="s">
        <v>454</v>
      </c>
      <c r="E55" s="603"/>
      <c r="F55" s="603"/>
      <c r="G55" s="603"/>
      <c r="H55" s="603"/>
      <c r="I55" s="603"/>
      <c r="J55" s="603"/>
      <c r="K55" s="603"/>
      <c r="L55" s="603"/>
      <c r="M55" s="603"/>
      <c r="N55" s="604"/>
      <c r="O55" s="71"/>
      <c r="P55" s="95" t="str">
        <f t="shared" si="4"/>
        <v/>
      </c>
      <c r="Q55" s="173"/>
      <c r="R55"/>
      <c r="U55"/>
      <c r="V55"/>
      <c r="W55"/>
      <c r="X55"/>
      <c r="Y55"/>
      <c r="Z55"/>
      <c r="AA55"/>
      <c r="AB55"/>
    </row>
    <row r="56" spans="1:28" ht="68.25" customHeight="1" x14ac:dyDescent="0.2">
      <c r="A56" s="107" t="s">
        <v>73</v>
      </c>
      <c r="C56" s="94" t="s">
        <v>234</v>
      </c>
      <c r="D56" s="594" t="s">
        <v>541</v>
      </c>
      <c r="E56" s="595"/>
      <c r="F56" s="595"/>
      <c r="G56" s="595"/>
      <c r="H56" s="595"/>
      <c r="I56" s="595"/>
      <c r="J56" s="595"/>
      <c r="K56" s="595"/>
      <c r="L56" s="595"/>
      <c r="M56" s="595"/>
      <c r="N56" s="596"/>
      <c r="O56" s="71"/>
      <c r="P56" s="95" t="str">
        <f t="shared" si="4"/>
        <v/>
      </c>
      <c r="Q56" s="173"/>
      <c r="R56"/>
      <c r="U56"/>
      <c r="V56"/>
      <c r="W56"/>
      <c r="X56"/>
      <c r="Y56"/>
      <c r="Z56"/>
      <c r="AA56"/>
      <c r="AB56"/>
    </row>
    <row r="57" spans="1:28" ht="31.5" customHeight="1" x14ac:dyDescent="0.2">
      <c r="B57" s="93"/>
      <c r="C57" s="94" t="s">
        <v>235</v>
      </c>
      <c r="D57" s="602" t="s">
        <v>459</v>
      </c>
      <c r="E57" s="603"/>
      <c r="F57" s="603"/>
      <c r="G57" s="603"/>
      <c r="H57" s="603"/>
      <c r="I57" s="603"/>
      <c r="J57" s="603"/>
      <c r="K57" s="603"/>
      <c r="L57" s="603"/>
      <c r="M57" s="603"/>
      <c r="N57" s="604"/>
      <c r="O57" s="71"/>
      <c r="P57" s="95" t="str">
        <f t="shared" si="4"/>
        <v/>
      </c>
      <c r="Q57" s="173"/>
      <c r="R57"/>
      <c r="U57"/>
      <c r="V57"/>
      <c r="W57"/>
      <c r="X57"/>
      <c r="Y57"/>
      <c r="Z57"/>
      <c r="AA57"/>
      <c r="AB57"/>
    </row>
    <row r="58" spans="1:28" ht="40.5" customHeight="1" x14ac:dyDescent="0.2">
      <c r="C58" s="104" t="s">
        <v>460</v>
      </c>
      <c r="D58" s="597" t="s">
        <v>455</v>
      </c>
      <c r="E58" s="595"/>
      <c r="F58" s="595"/>
      <c r="G58" s="595"/>
      <c r="H58" s="595"/>
      <c r="I58" s="595"/>
      <c r="J58" s="595"/>
      <c r="K58" s="595"/>
      <c r="L58" s="595"/>
      <c r="M58" s="595"/>
      <c r="N58" s="596"/>
      <c r="O58" s="71"/>
      <c r="P58" s="95" t="str">
        <f t="shared" si="4"/>
        <v/>
      </c>
      <c r="Q58" s="173"/>
      <c r="R58"/>
      <c r="U58"/>
      <c r="V58"/>
      <c r="W58"/>
      <c r="X58"/>
      <c r="Y58"/>
      <c r="Z58"/>
      <c r="AA58"/>
      <c r="AB58"/>
    </row>
    <row r="59" spans="1:28" ht="30" customHeight="1" x14ac:dyDescent="0.2">
      <c r="A59" s="107" t="s">
        <v>70</v>
      </c>
      <c r="C59" s="104" t="s">
        <v>236</v>
      </c>
      <c r="D59" s="598" t="s">
        <v>456</v>
      </c>
      <c r="E59" s="599"/>
      <c r="F59" s="599"/>
      <c r="G59" s="599"/>
      <c r="H59" s="599"/>
      <c r="I59" s="599"/>
      <c r="J59" s="599"/>
      <c r="K59" s="599"/>
      <c r="L59" s="599"/>
      <c r="M59" s="599"/>
      <c r="N59" s="600"/>
      <c r="O59" s="71"/>
      <c r="P59" s="95" t="str">
        <f t="shared" si="4"/>
        <v/>
      </c>
      <c r="Q59" s="173"/>
      <c r="R59"/>
      <c r="U59"/>
      <c r="V59"/>
      <c r="W59"/>
      <c r="X59"/>
      <c r="Y59"/>
      <c r="Z59"/>
      <c r="AA59"/>
      <c r="AB59"/>
    </row>
    <row r="60" spans="1:28" ht="30" customHeight="1" x14ac:dyDescent="0.2">
      <c r="A60" s="107" t="s">
        <v>70</v>
      </c>
      <c r="B60" s="93"/>
      <c r="C60" s="104" t="s">
        <v>237</v>
      </c>
      <c r="D60" s="598" t="s">
        <v>280</v>
      </c>
      <c r="E60" s="599"/>
      <c r="F60" s="599"/>
      <c r="G60" s="599"/>
      <c r="H60" s="599"/>
      <c r="I60" s="599"/>
      <c r="J60" s="599"/>
      <c r="K60" s="599"/>
      <c r="L60" s="599"/>
      <c r="M60" s="599"/>
      <c r="N60" s="600"/>
      <c r="O60" s="71"/>
      <c r="P60" s="95" t="str">
        <f t="shared" si="4"/>
        <v/>
      </c>
      <c r="Q60" s="171"/>
      <c r="R60"/>
      <c r="U60"/>
      <c r="V60"/>
      <c r="W60"/>
      <c r="X60"/>
      <c r="Y60"/>
      <c r="Z60"/>
      <c r="AA60"/>
      <c r="AB60"/>
    </row>
    <row r="61" spans="1:28" ht="22.5" customHeight="1" x14ac:dyDescent="0.2">
      <c r="A61" s="107" t="s">
        <v>69</v>
      </c>
      <c r="B61" s="107" t="s">
        <v>69</v>
      </c>
      <c r="C61" s="580" t="s">
        <v>281</v>
      </c>
      <c r="D61" s="470"/>
      <c r="E61" s="470"/>
      <c r="F61" s="470"/>
      <c r="G61" s="470"/>
      <c r="H61" s="470"/>
      <c r="I61" s="470"/>
      <c r="J61" s="470"/>
      <c r="K61" s="470"/>
      <c r="L61" s="470"/>
      <c r="M61" s="470"/>
      <c r="N61" s="470"/>
      <c r="O61" s="347"/>
      <c r="P61" s="345"/>
      <c r="Q61" s="172"/>
      <c r="R61"/>
      <c r="U61"/>
      <c r="V61"/>
      <c r="W61"/>
      <c r="X61"/>
      <c r="Y61"/>
      <c r="Z61"/>
      <c r="AA61"/>
      <c r="AB61"/>
    </row>
    <row r="62" spans="1:28" ht="28.5" customHeight="1" x14ac:dyDescent="0.2">
      <c r="A62" s="107"/>
      <c r="B62" s="147"/>
      <c r="C62" s="581" t="s">
        <v>17</v>
      </c>
      <c r="D62" s="470"/>
      <c r="E62" s="470"/>
      <c r="F62" s="470"/>
      <c r="G62" s="470"/>
      <c r="H62" s="470"/>
      <c r="I62" s="470"/>
      <c r="J62" s="470"/>
      <c r="K62" s="470"/>
      <c r="L62" s="470"/>
      <c r="M62" s="470"/>
      <c r="N62" s="470"/>
      <c r="O62" s="345"/>
      <c r="Q62" s="171"/>
      <c r="R62"/>
      <c r="U62"/>
      <c r="V62"/>
      <c r="W62"/>
      <c r="X62"/>
      <c r="Y62"/>
      <c r="Z62"/>
      <c r="AA62"/>
      <c r="AB62"/>
    </row>
    <row r="63" spans="1:28" ht="30" customHeight="1" x14ac:dyDescent="0.25">
      <c r="A63" s="107" t="s">
        <v>70</v>
      </c>
      <c r="B63" s="93"/>
      <c r="C63" s="100" t="s">
        <v>264</v>
      </c>
      <c r="D63" s="573" t="s">
        <v>75</v>
      </c>
      <c r="E63" s="574"/>
      <c r="F63" s="574"/>
      <c r="G63" s="574"/>
      <c r="H63" s="574"/>
      <c r="I63" s="574"/>
      <c r="J63" s="574"/>
      <c r="K63" s="574"/>
      <c r="L63" s="574"/>
      <c r="M63" s="574"/>
      <c r="N63" s="440"/>
      <c r="O63" s="101" t="s">
        <v>265</v>
      </c>
      <c r="P63" s="101" t="s">
        <v>266</v>
      </c>
      <c r="Q63" s="359"/>
      <c r="R63"/>
      <c r="U63"/>
      <c r="V63"/>
      <c r="W63"/>
      <c r="X63"/>
      <c r="Y63"/>
      <c r="Z63"/>
      <c r="AA63"/>
      <c r="AB63"/>
    </row>
    <row r="64" spans="1:28" ht="30" customHeight="1" x14ac:dyDescent="0.2">
      <c r="A64" s="107" t="s">
        <v>70</v>
      </c>
      <c r="B64" s="93"/>
      <c r="C64" s="94" t="s">
        <v>239</v>
      </c>
      <c r="D64" s="567" t="s">
        <v>461</v>
      </c>
      <c r="E64" s="470"/>
      <c r="F64" s="470"/>
      <c r="G64" s="470"/>
      <c r="H64" s="470"/>
      <c r="I64" s="470"/>
      <c r="J64" s="470"/>
      <c r="K64" s="470"/>
      <c r="L64" s="470"/>
      <c r="M64" s="470"/>
      <c r="N64" s="471"/>
      <c r="O64" s="71"/>
      <c r="P64" s="95" t="str">
        <f t="shared" ref="P64:P69" si="5">IF(O64="","",IF(O64="Yes","Pass",IF(O64="No","Fail","N/A")))</f>
        <v/>
      </c>
      <c r="Q64" s="173"/>
      <c r="R64"/>
      <c r="U64"/>
      <c r="V64"/>
      <c r="W64"/>
      <c r="X64"/>
      <c r="Y64"/>
      <c r="Z64"/>
      <c r="AA64"/>
      <c r="AB64"/>
    </row>
    <row r="65" spans="1:28" ht="33.75" customHeight="1" x14ac:dyDescent="0.2">
      <c r="A65" s="107" t="s">
        <v>76</v>
      </c>
      <c r="B65" s="93"/>
      <c r="C65" s="94" t="s">
        <v>240</v>
      </c>
      <c r="D65" s="567" t="s">
        <v>282</v>
      </c>
      <c r="E65" s="470"/>
      <c r="F65" s="470"/>
      <c r="G65" s="470"/>
      <c r="H65" s="470"/>
      <c r="I65" s="470"/>
      <c r="J65" s="470"/>
      <c r="K65" s="470"/>
      <c r="L65" s="470"/>
      <c r="M65" s="470"/>
      <c r="N65" s="471"/>
      <c r="O65" s="71"/>
      <c r="P65" s="95" t="str">
        <f t="shared" si="5"/>
        <v/>
      </c>
      <c r="Q65" s="173"/>
      <c r="R65"/>
      <c r="U65"/>
      <c r="V65"/>
      <c r="W65"/>
      <c r="X65"/>
      <c r="Y65"/>
      <c r="Z65"/>
      <c r="AA65"/>
      <c r="AB65"/>
    </row>
    <row r="66" spans="1:28" ht="49.5" customHeight="1" x14ac:dyDescent="0.2">
      <c r="A66" s="106">
        <v>1</v>
      </c>
      <c r="B66" s="93"/>
      <c r="C66" s="94" t="s">
        <v>241</v>
      </c>
      <c r="D66" s="567" t="s">
        <v>462</v>
      </c>
      <c r="E66" s="470"/>
      <c r="F66" s="470"/>
      <c r="G66" s="470"/>
      <c r="H66" s="470"/>
      <c r="I66" s="470"/>
      <c r="J66" s="470"/>
      <c r="K66" s="470"/>
      <c r="L66" s="470"/>
      <c r="M66" s="470"/>
      <c r="N66" s="471"/>
      <c r="O66" s="71"/>
      <c r="P66" s="95" t="str">
        <f t="shared" si="5"/>
        <v/>
      </c>
      <c r="Q66" s="173"/>
      <c r="R66"/>
      <c r="U66"/>
      <c r="V66"/>
      <c r="W66"/>
      <c r="X66"/>
      <c r="Y66"/>
      <c r="Z66"/>
      <c r="AA66"/>
      <c r="AB66"/>
    </row>
    <row r="67" spans="1:28" ht="35.25" customHeight="1" x14ac:dyDescent="0.2">
      <c r="A67" s="107" t="s">
        <v>73</v>
      </c>
      <c r="C67" s="148" t="s">
        <v>542</v>
      </c>
      <c r="D67" s="593" t="s">
        <v>464</v>
      </c>
      <c r="E67" s="470"/>
      <c r="F67" s="470"/>
      <c r="G67" s="470"/>
      <c r="H67" s="470"/>
      <c r="I67" s="470"/>
      <c r="J67" s="470"/>
      <c r="K67" s="470"/>
      <c r="L67" s="470"/>
      <c r="M67" s="470"/>
      <c r="N67" s="470"/>
      <c r="O67" s="71"/>
      <c r="P67" s="95" t="str">
        <f t="shared" si="5"/>
        <v/>
      </c>
      <c r="Q67" s="173"/>
      <c r="R67"/>
      <c r="U67"/>
      <c r="V67"/>
      <c r="W67"/>
      <c r="X67"/>
      <c r="Y67"/>
      <c r="Z67"/>
      <c r="AA67"/>
      <c r="AB67"/>
    </row>
    <row r="68" spans="1:28" ht="36" customHeight="1" x14ac:dyDescent="0.2">
      <c r="B68" s="93"/>
      <c r="C68" s="94" t="s">
        <v>242</v>
      </c>
      <c r="D68" s="469" t="s">
        <v>546</v>
      </c>
      <c r="E68" s="470"/>
      <c r="F68" s="470"/>
      <c r="G68" s="470"/>
      <c r="H68" s="470"/>
      <c r="I68" s="470"/>
      <c r="J68" s="470"/>
      <c r="K68" s="470"/>
      <c r="L68" s="470"/>
      <c r="M68" s="470"/>
      <c r="N68" s="471"/>
      <c r="O68" s="71"/>
      <c r="P68" s="95" t="str">
        <f t="shared" si="5"/>
        <v/>
      </c>
      <c r="Q68" s="173"/>
      <c r="R68"/>
      <c r="U68"/>
      <c r="V68"/>
      <c r="W68"/>
      <c r="X68"/>
      <c r="Y68"/>
      <c r="Z68"/>
      <c r="AA68"/>
      <c r="AB68"/>
    </row>
    <row r="69" spans="1:28" ht="52.5" customHeight="1" x14ac:dyDescent="0.2">
      <c r="C69" s="94" t="s">
        <v>243</v>
      </c>
      <c r="D69" s="469" t="s">
        <v>547</v>
      </c>
      <c r="E69" s="470"/>
      <c r="F69" s="470"/>
      <c r="G69" s="470"/>
      <c r="H69" s="470"/>
      <c r="I69" s="470"/>
      <c r="J69" s="470"/>
      <c r="K69" s="470"/>
      <c r="L69" s="470"/>
      <c r="M69" s="470"/>
      <c r="N69" s="471"/>
      <c r="O69" s="71"/>
      <c r="P69" s="95" t="str">
        <f t="shared" si="5"/>
        <v/>
      </c>
      <c r="Q69" s="173"/>
      <c r="R69"/>
      <c r="U69"/>
      <c r="V69"/>
      <c r="W69"/>
      <c r="X69"/>
      <c r="Y69"/>
      <c r="Z69"/>
      <c r="AA69"/>
      <c r="AB69"/>
    </row>
    <row r="70" spans="1:28" ht="21" customHeight="1" x14ac:dyDescent="0.25">
      <c r="A70" s="107" t="s">
        <v>70</v>
      </c>
      <c r="C70" s="608" t="s">
        <v>283</v>
      </c>
      <c r="D70" s="486"/>
      <c r="E70" s="486"/>
      <c r="F70" s="486"/>
      <c r="G70" s="486"/>
      <c r="H70" s="486"/>
      <c r="I70" s="486"/>
      <c r="J70" s="486"/>
      <c r="K70" s="486"/>
      <c r="L70" s="486"/>
      <c r="M70" s="486"/>
      <c r="N70" s="486"/>
      <c r="O70" s="348"/>
      <c r="P70" s="342"/>
      <c r="Q70" s="173"/>
      <c r="R70"/>
      <c r="U70"/>
      <c r="V70"/>
      <c r="W70"/>
      <c r="X70"/>
      <c r="Y70"/>
      <c r="Z70"/>
      <c r="AA70"/>
      <c r="AB70"/>
    </row>
    <row r="71" spans="1:28" ht="29.25" customHeight="1" x14ac:dyDescent="0.25">
      <c r="A71" s="107" t="s">
        <v>285</v>
      </c>
      <c r="B71" s="93"/>
      <c r="C71" s="581" t="s">
        <v>17</v>
      </c>
      <c r="D71" s="470"/>
      <c r="E71" s="470"/>
      <c r="F71" s="470"/>
      <c r="G71" s="470"/>
      <c r="H71" s="470"/>
      <c r="I71" s="470"/>
      <c r="J71" s="470"/>
      <c r="K71" s="470"/>
      <c r="L71" s="470"/>
      <c r="M71" s="470"/>
      <c r="N71" s="470"/>
      <c r="O71" s="345"/>
      <c r="Q71" s="352"/>
      <c r="R71"/>
      <c r="U71"/>
      <c r="V71"/>
      <c r="W71"/>
      <c r="X71"/>
      <c r="Y71"/>
      <c r="Z71"/>
      <c r="AA71"/>
      <c r="AB71"/>
    </row>
    <row r="72" spans="1:28" ht="21.75" customHeight="1" x14ac:dyDescent="0.25">
      <c r="A72" s="107" t="s">
        <v>76</v>
      </c>
      <c r="B72" s="107" t="s">
        <v>286</v>
      </c>
      <c r="C72" s="100" t="s">
        <v>264</v>
      </c>
      <c r="D72" s="573" t="s">
        <v>77</v>
      </c>
      <c r="E72" s="574"/>
      <c r="F72" s="574"/>
      <c r="G72" s="574"/>
      <c r="H72" s="574"/>
      <c r="I72" s="574"/>
      <c r="J72" s="574"/>
      <c r="K72" s="574"/>
      <c r="L72" s="574"/>
      <c r="M72" s="574"/>
      <c r="N72" s="574"/>
      <c r="O72" s="101" t="s">
        <v>265</v>
      </c>
      <c r="P72" s="101" t="s">
        <v>266</v>
      </c>
      <c r="Q72" s="172"/>
      <c r="R72"/>
      <c r="U72"/>
      <c r="V72"/>
      <c r="W72"/>
      <c r="X72"/>
      <c r="Y72"/>
      <c r="Z72"/>
      <c r="AA72"/>
      <c r="AB72"/>
    </row>
    <row r="73" spans="1:28" ht="36" customHeight="1" x14ac:dyDescent="0.2">
      <c r="A73" s="107" t="s">
        <v>287</v>
      </c>
      <c r="B73" s="107" t="s">
        <v>80</v>
      </c>
      <c r="C73" s="102" t="s">
        <v>245</v>
      </c>
      <c r="D73" s="607" t="s">
        <v>284</v>
      </c>
      <c r="E73" s="470"/>
      <c r="F73" s="470"/>
      <c r="G73" s="470"/>
      <c r="H73" s="470"/>
      <c r="I73" s="470"/>
      <c r="J73" s="470"/>
      <c r="K73" s="470"/>
      <c r="L73" s="470"/>
      <c r="M73" s="470"/>
      <c r="N73" s="470"/>
      <c r="O73" s="71"/>
      <c r="P73" s="95" t="str">
        <f>IF(O73="","",IF(O73="Yes","Fail",IF(O73="No","Pass","N/A")))</f>
        <v/>
      </c>
      <c r="R73"/>
      <c r="U73"/>
      <c r="V73"/>
      <c r="W73"/>
      <c r="X73"/>
      <c r="Y73"/>
      <c r="Z73"/>
      <c r="AA73"/>
      <c r="AB73"/>
    </row>
    <row r="74" spans="1:28" ht="189" customHeight="1" x14ac:dyDescent="0.2">
      <c r="A74" s="107" t="s">
        <v>288</v>
      </c>
      <c r="B74" s="93"/>
      <c r="C74" s="102" t="s">
        <v>246</v>
      </c>
      <c r="D74" s="609" t="s">
        <v>552</v>
      </c>
      <c r="E74" s="470"/>
      <c r="F74" s="470"/>
      <c r="G74" s="470"/>
      <c r="H74" s="470"/>
      <c r="I74" s="470"/>
      <c r="J74" s="470"/>
      <c r="K74" s="470"/>
      <c r="L74" s="470"/>
      <c r="M74" s="470"/>
      <c r="N74" s="470"/>
      <c r="O74" s="71"/>
      <c r="P74" s="95" t="str">
        <f>IF(O74="","",IF(O74="Yes","Fail",IF(O74="No","Pass","N/A")))</f>
        <v/>
      </c>
      <c r="Q74" s="359"/>
      <c r="R74"/>
      <c r="U74"/>
      <c r="V74"/>
      <c r="W74"/>
      <c r="X74"/>
      <c r="Y74"/>
      <c r="Z74"/>
      <c r="AA74"/>
      <c r="AB74"/>
    </row>
    <row r="75" spans="1:28" ht="94.5" customHeight="1" x14ac:dyDescent="0.2">
      <c r="A75" s="107" t="s">
        <v>81</v>
      </c>
      <c r="B75" s="93"/>
      <c r="C75" s="102" t="s">
        <v>247</v>
      </c>
      <c r="D75" s="609" t="s">
        <v>551</v>
      </c>
      <c r="E75" s="470"/>
      <c r="F75" s="470"/>
      <c r="G75" s="470"/>
      <c r="H75" s="470"/>
      <c r="I75" s="470"/>
      <c r="J75" s="470"/>
      <c r="K75" s="470"/>
      <c r="L75" s="470"/>
      <c r="M75" s="470"/>
      <c r="N75" s="470"/>
      <c r="O75" s="71"/>
      <c r="P75" s="95" t="str">
        <f t="shared" ref="P75:P82" si="6">IF(O75="","",IF(O75="Yes","Pass",IF(O75="No","Fail","N/A")))</f>
        <v/>
      </c>
      <c r="Q75" s="173"/>
      <c r="R75"/>
      <c r="U75"/>
      <c r="V75"/>
      <c r="W75"/>
      <c r="X75"/>
      <c r="Y75"/>
      <c r="Z75"/>
      <c r="AA75"/>
      <c r="AB75"/>
    </row>
    <row r="76" spans="1:28" ht="126" customHeight="1" x14ac:dyDescent="0.2">
      <c r="A76" s="107" t="s">
        <v>69</v>
      </c>
      <c r="B76" s="93"/>
      <c r="C76" s="102" t="s">
        <v>248</v>
      </c>
      <c r="D76" s="579" t="s">
        <v>550</v>
      </c>
      <c r="E76" s="572"/>
      <c r="F76" s="572"/>
      <c r="G76" s="572"/>
      <c r="H76" s="572"/>
      <c r="I76" s="572"/>
      <c r="J76" s="572"/>
      <c r="K76" s="572"/>
      <c r="L76" s="572"/>
      <c r="M76" s="572"/>
      <c r="N76" s="572"/>
      <c r="O76" s="71"/>
      <c r="P76" s="95" t="str">
        <f t="shared" si="6"/>
        <v/>
      </c>
      <c r="Q76" s="173"/>
      <c r="R76"/>
      <c r="U76"/>
      <c r="V76"/>
      <c r="W76"/>
      <c r="X76"/>
      <c r="Y76"/>
      <c r="Z76"/>
      <c r="AA76"/>
      <c r="AB76"/>
    </row>
    <row r="77" spans="1:28" ht="78" customHeight="1" x14ac:dyDescent="0.2">
      <c r="A77" s="107" t="s">
        <v>288</v>
      </c>
      <c r="B77" s="93"/>
      <c r="C77" s="102" t="s">
        <v>249</v>
      </c>
      <c r="D77" s="579" t="s">
        <v>289</v>
      </c>
      <c r="E77" s="572"/>
      <c r="F77" s="572"/>
      <c r="G77" s="572"/>
      <c r="H77" s="572"/>
      <c r="I77" s="572"/>
      <c r="J77" s="572"/>
      <c r="K77" s="572"/>
      <c r="L77" s="572"/>
      <c r="M77" s="572"/>
      <c r="N77" s="582"/>
      <c r="O77" s="71"/>
      <c r="P77" s="95" t="str">
        <f t="shared" si="6"/>
        <v/>
      </c>
      <c r="Q77" s="173"/>
      <c r="R77"/>
      <c r="U77"/>
      <c r="V77"/>
      <c r="W77"/>
      <c r="X77"/>
      <c r="Y77"/>
      <c r="Z77"/>
      <c r="AA77"/>
      <c r="AB77"/>
    </row>
    <row r="78" spans="1:28" ht="108.75" customHeight="1" x14ac:dyDescent="0.2">
      <c r="A78" s="107" t="s">
        <v>73</v>
      </c>
      <c r="B78" s="93"/>
      <c r="C78" s="102" t="s">
        <v>250</v>
      </c>
      <c r="D78" s="579" t="s">
        <v>543</v>
      </c>
      <c r="E78" s="572"/>
      <c r="F78" s="572"/>
      <c r="G78" s="572"/>
      <c r="H78" s="572"/>
      <c r="I78" s="572"/>
      <c r="J78" s="572"/>
      <c r="K78" s="572"/>
      <c r="L78" s="572"/>
      <c r="M78" s="572"/>
      <c r="N78" s="582"/>
      <c r="O78" s="71"/>
      <c r="P78" s="95" t="str">
        <f t="shared" si="6"/>
        <v/>
      </c>
      <c r="Q78" s="173"/>
      <c r="R78"/>
      <c r="U78"/>
      <c r="V78"/>
      <c r="W78"/>
      <c r="X78"/>
      <c r="Y78"/>
      <c r="Z78"/>
      <c r="AA78"/>
      <c r="AB78"/>
    </row>
    <row r="79" spans="1:28" ht="36" customHeight="1" x14ac:dyDescent="0.2">
      <c r="A79" s="107" t="s">
        <v>81</v>
      </c>
      <c r="B79" s="93"/>
      <c r="C79" s="102" t="s">
        <v>251</v>
      </c>
      <c r="D79" s="567" t="s">
        <v>290</v>
      </c>
      <c r="E79" s="572"/>
      <c r="F79" s="572"/>
      <c r="G79" s="572"/>
      <c r="H79" s="572"/>
      <c r="I79" s="572"/>
      <c r="J79" s="572"/>
      <c r="K79" s="572"/>
      <c r="L79" s="572"/>
      <c r="M79" s="572"/>
      <c r="N79" s="582"/>
      <c r="O79" s="71"/>
      <c r="P79" s="95" t="str">
        <f t="shared" si="6"/>
        <v/>
      </c>
      <c r="Q79" s="173"/>
      <c r="R79"/>
      <c r="U79"/>
      <c r="V79"/>
      <c r="W79"/>
      <c r="X79"/>
      <c r="Y79"/>
      <c r="Z79"/>
      <c r="AA79"/>
      <c r="AB79"/>
    </row>
    <row r="80" spans="1:28" ht="91.5" customHeight="1" x14ac:dyDescent="0.2">
      <c r="A80" s="107" t="s">
        <v>81</v>
      </c>
      <c r="B80" s="93"/>
      <c r="C80" s="102" t="s">
        <v>252</v>
      </c>
      <c r="D80" s="579" t="s">
        <v>549</v>
      </c>
      <c r="E80" s="572"/>
      <c r="F80" s="572"/>
      <c r="G80" s="572"/>
      <c r="H80" s="572"/>
      <c r="I80" s="572"/>
      <c r="J80" s="572"/>
      <c r="K80" s="572"/>
      <c r="L80" s="572"/>
      <c r="M80" s="572"/>
      <c r="N80" s="582"/>
      <c r="O80" s="71"/>
      <c r="P80" s="95" t="str">
        <f t="shared" si="6"/>
        <v/>
      </c>
      <c r="Q80" s="173"/>
      <c r="R80"/>
      <c r="U80"/>
      <c r="V80"/>
      <c r="W80"/>
      <c r="X80"/>
      <c r="Y80"/>
      <c r="Z80"/>
      <c r="AA80"/>
      <c r="AB80"/>
    </row>
    <row r="81" spans="1:18" ht="61.5" customHeight="1" x14ac:dyDescent="0.2">
      <c r="A81" s="107" t="s">
        <v>288</v>
      </c>
      <c r="B81" s="93"/>
      <c r="C81" s="102" t="s">
        <v>253</v>
      </c>
      <c r="D81" s="579" t="s">
        <v>291</v>
      </c>
      <c r="E81" s="572"/>
      <c r="F81" s="572"/>
      <c r="G81" s="572"/>
      <c r="H81" s="572"/>
      <c r="I81" s="572"/>
      <c r="J81" s="572"/>
      <c r="K81" s="572"/>
      <c r="L81" s="572"/>
      <c r="M81" s="572"/>
      <c r="N81" s="582"/>
      <c r="O81" s="71"/>
      <c r="P81" s="95" t="str">
        <f t="shared" si="6"/>
        <v/>
      </c>
      <c r="Q81"/>
      <c r="R81"/>
    </row>
    <row r="82" spans="1:18" ht="78.75" customHeight="1" x14ac:dyDescent="0.2">
      <c r="A82" s="106">
        <v>1</v>
      </c>
      <c r="B82" s="93"/>
      <c r="C82" s="102" t="s">
        <v>254</v>
      </c>
      <c r="D82" s="609" t="s">
        <v>548</v>
      </c>
      <c r="E82" s="470"/>
      <c r="F82" s="470"/>
      <c r="G82" s="470"/>
      <c r="H82" s="470"/>
      <c r="I82" s="470"/>
      <c r="J82" s="470"/>
      <c r="K82" s="470"/>
      <c r="L82" s="470"/>
      <c r="M82" s="470"/>
      <c r="N82" s="471"/>
      <c r="O82" s="71"/>
      <c r="P82" s="95" t="str">
        <f t="shared" si="6"/>
        <v/>
      </c>
      <c r="Q82"/>
      <c r="R82"/>
    </row>
    <row r="83" spans="1:18" ht="20.25" customHeight="1" x14ac:dyDescent="0.2">
      <c r="A83" s="107" t="s">
        <v>73</v>
      </c>
      <c r="C83" s="469" t="s">
        <v>292</v>
      </c>
      <c r="D83" s="470"/>
      <c r="E83" s="470"/>
      <c r="F83" s="470"/>
      <c r="G83" s="470"/>
      <c r="H83" s="470"/>
      <c r="I83" s="470"/>
      <c r="J83" s="470"/>
      <c r="K83" s="470"/>
      <c r="L83" s="470"/>
      <c r="M83" s="470"/>
      <c r="N83" s="470"/>
      <c r="O83" s="346"/>
      <c r="P83" s="95"/>
      <c r="Q83"/>
      <c r="R83"/>
    </row>
    <row r="84" spans="1:18" ht="21" customHeight="1" x14ac:dyDescent="0.2">
      <c r="B84" s="93"/>
      <c r="C84" s="581" t="s">
        <v>17</v>
      </c>
      <c r="D84" s="470"/>
      <c r="E84" s="470"/>
      <c r="F84" s="470"/>
      <c r="G84" s="470"/>
      <c r="H84" s="470"/>
      <c r="I84" s="470"/>
      <c r="J84" s="470"/>
      <c r="K84" s="470"/>
      <c r="L84" s="470"/>
      <c r="M84" s="470"/>
      <c r="N84" s="470"/>
      <c r="O84" s="345"/>
      <c r="P84" s="346"/>
      <c r="Q84"/>
      <c r="R84"/>
    </row>
    <row r="85" spans="1:18" ht="18" x14ac:dyDescent="0.2">
      <c r="P85" s="345"/>
      <c r="Q85" s="173"/>
      <c r="R85" s="173"/>
    </row>
    <row r="86" spans="1:18" ht="18" x14ac:dyDescent="0.2">
      <c r="P86" s="105"/>
      <c r="Q86" s="173"/>
      <c r="R86" s="173"/>
    </row>
    <row r="87" spans="1:18" x14ac:dyDescent="0.2">
      <c r="P87" s="105"/>
      <c r="Q87" s="105"/>
      <c r="R87" s="105"/>
    </row>
    <row r="88" spans="1:18" x14ac:dyDescent="0.2">
      <c r="Q88" s="105"/>
      <c r="R88" s="105"/>
    </row>
    <row r="89" spans="1:18" x14ac:dyDescent="0.2">
      <c r="Q89" s="105"/>
      <c r="R89" s="105"/>
    </row>
    <row r="90" spans="1:18" x14ac:dyDescent="0.2">
      <c r="Q90" s="105"/>
      <c r="R90" s="105"/>
    </row>
  </sheetData>
  <sheetProtection algorithmName="SHA-512" hashValue="yrfETsxjuEPHcOKiLexnZedikML451XXLbbmuDe9S9/ACu3YsIM+/0PSScONv6GWvixXU7kDxB3RTRbYA19Zww==" saltValue="ReM2K5TtLBPseR0R8gX7Rg==" spinCount="100000" sheet="1" objects="1" scenarios="1"/>
  <mergeCells count="83">
    <mergeCell ref="D82:N82"/>
    <mergeCell ref="C83:N83"/>
    <mergeCell ref="C84:N84"/>
    <mergeCell ref="C34:N34"/>
    <mergeCell ref="C35:N35"/>
    <mergeCell ref="D37:N37"/>
    <mergeCell ref="D49:N49"/>
    <mergeCell ref="C50:N50"/>
    <mergeCell ref="D76:N76"/>
    <mergeCell ref="D77:N77"/>
    <mergeCell ref="D78:N78"/>
    <mergeCell ref="D64:N64"/>
    <mergeCell ref="D54:N54"/>
    <mergeCell ref="D63:N63"/>
    <mergeCell ref="D58:N58"/>
    <mergeCell ref="D60:N60"/>
    <mergeCell ref="C61:N61"/>
    <mergeCell ref="C62:N62"/>
    <mergeCell ref="D69:N69"/>
    <mergeCell ref="C71:N71"/>
    <mergeCell ref="D56:N56"/>
    <mergeCell ref="D57:N57"/>
    <mergeCell ref="D52:N52"/>
    <mergeCell ref="D53:N53"/>
    <mergeCell ref="D59:N59"/>
    <mergeCell ref="D13:N13"/>
    <mergeCell ref="D14:N14"/>
    <mergeCell ref="D29:N29"/>
    <mergeCell ref="C51:N51"/>
    <mergeCell ref="D40:N40"/>
    <mergeCell ref="D47:N47"/>
    <mergeCell ref="D48:N48"/>
    <mergeCell ref="D43:N43"/>
    <mergeCell ref="D44:N44"/>
    <mergeCell ref="D45:N45"/>
    <mergeCell ref="D46:N46"/>
    <mergeCell ref="D42:N42"/>
    <mergeCell ref="D41:N41"/>
    <mergeCell ref="D19:N19"/>
    <mergeCell ref="C20:N20"/>
    <mergeCell ref="C21:N21"/>
    <mergeCell ref="D15:N15"/>
    <mergeCell ref="D16:N16"/>
    <mergeCell ref="D17:N17"/>
    <mergeCell ref="D18:N18"/>
    <mergeCell ref="D22:N22"/>
    <mergeCell ref="D31:N31"/>
    <mergeCell ref="D32:N32"/>
    <mergeCell ref="D23:N23"/>
    <mergeCell ref="D24:N24"/>
    <mergeCell ref="D25:N25"/>
    <mergeCell ref="D26:N26"/>
    <mergeCell ref="C27:N27"/>
    <mergeCell ref="D30:N30"/>
    <mergeCell ref="C28:N28"/>
    <mergeCell ref="S1:U1"/>
    <mergeCell ref="T4:U4"/>
    <mergeCell ref="C1:G1"/>
    <mergeCell ref="C2:G2"/>
    <mergeCell ref="D12:N12"/>
    <mergeCell ref="K1:L1"/>
    <mergeCell ref="K2:L2"/>
    <mergeCell ref="E5:G5"/>
    <mergeCell ref="D8:N8"/>
    <mergeCell ref="D9:N9"/>
    <mergeCell ref="D10:N10"/>
    <mergeCell ref="D11:N11"/>
    <mergeCell ref="D33:N33"/>
    <mergeCell ref="D81:N81"/>
    <mergeCell ref="D65:N65"/>
    <mergeCell ref="D66:N66"/>
    <mergeCell ref="D67:N67"/>
    <mergeCell ref="D80:N80"/>
    <mergeCell ref="D79:N79"/>
    <mergeCell ref="D68:N68"/>
    <mergeCell ref="D72:N72"/>
    <mergeCell ref="D73:N73"/>
    <mergeCell ref="D74:N74"/>
    <mergeCell ref="D75:N75"/>
    <mergeCell ref="D36:N36"/>
    <mergeCell ref="D39:N39"/>
    <mergeCell ref="C70:N70"/>
    <mergeCell ref="D55:N55"/>
  </mergeCells>
  <conditionalFormatting sqref="M5">
    <cfRule type="containsText" dxfId="59" priority="4" operator="containsText" text="Fail">
      <formula>NOT(ISERROR(SEARCH("Fail",M5)))</formula>
    </cfRule>
  </conditionalFormatting>
  <conditionalFormatting sqref="P8:R19 P20 P22:R26 P29:R33 Q34:Q46 P36:P37 P39:P49 Q51:Q59 P52:P60 P63:P69 Q63:Q70 P72:P83 Q74:Q80">
    <cfRule type="containsText" dxfId="58" priority="1" operator="containsText" text="Fail">
      <formula>NOT(ISERROR(SEARCH("Fail",P8)))</formula>
    </cfRule>
  </conditionalFormatting>
  <conditionalFormatting sqref="Q85:R86">
    <cfRule type="containsText" dxfId="57" priority="6" operator="containsText" text="Fail">
      <formula>NOT(ISERROR(SEARCH("Fail",Q85)))</formula>
    </cfRule>
  </conditionalFormatting>
  <conditionalFormatting sqref="U1:U3 T4">
    <cfRule type="containsText" dxfId="56" priority="2" operator="containsText" text="Fail">
      <formula>NOT(ISERROR(SEARCH("Fail",T1)))</formula>
    </cfRule>
  </conditionalFormatting>
  <conditionalFormatting sqref="AE9">
    <cfRule type="containsText" dxfId="55" priority="5" operator="containsText" text="Fail">
      <formula>NOT(ISERROR(SEARCH("Fail",AE9)))</formula>
    </cfRule>
  </conditionalFormatting>
  <dataValidations count="4">
    <dataValidation type="whole" operator="greaterThan" allowBlank="1" showInputMessage="1" showErrorMessage="1" sqref="X9:X34" xr:uid="{C9A5BB2F-C827-4C65-AEA9-CFFB28117826}">
      <formula1>0</formula1>
    </dataValidation>
    <dataValidation type="date" operator="greaterThan" allowBlank="1" showInputMessage="1" showErrorMessage="1" sqref="W9:W34" xr:uid="{DDF73D25-70BE-4203-BAF9-65E7218690F4}">
      <formula1>36526</formula1>
    </dataValidation>
    <dataValidation type="list" showErrorMessage="1" errorTitle="Invalid Selection" error="Select either Yes, No, or N/A from the dropdown list. Click &quot;Cancel&quot; below, then update selection." sqref="O73:O82 O23:O26 O53:O60 O39:O49 O64:O69 O37 O30:O33 O9:O19" xr:uid="{24139EB4-B22F-4D57-9347-D3BE5B832BA6}">
      <formula1>"Yes,No,N/A"</formula1>
    </dataValidation>
    <dataValidation type="decimal" operator="greaterThanOrEqual" allowBlank="1" showInputMessage="1" showErrorMessage="1" errorTitle="Input Error" error="Insert the claimed amount with dollars and cents in $0.00 format. Click &quot;Cancel&quot; below and try again." sqref="Y9:Y34" xr:uid="{6EE12D56-197F-482C-9DF6-DAE07462CB23}">
      <formula1>0</formula1>
    </dataValidation>
  </dataValidations>
  <pageMargins left="0.7" right="0.7" top="1" bottom="0.75" header="0.3" footer="0.3"/>
  <pageSetup scale="64" fitToHeight="0" orientation="portrait" r:id="rId1"/>
  <headerFooter>
    <oddHeader>&amp;CConfidential QI Report
San Diego County Mental Health Plan
Behavioral Health Services
Fiscal Year 23-24</oddHeader>
    <oddFooter>&amp;LFY 23-24 Medical Record Review Report - Excel - Rev. 7-1-23</oddFooter>
  </headerFooter>
  <colBreaks count="1" manualBreakCount="1">
    <brk id="16" max="84"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5B9B1233-7BF9-4912-9113-71CE5EB3DCF6}">
          <x14:formula1>
            <xm:f>Validations!$E$4:$E$15</xm:f>
          </x14:formula1>
          <xm:sqref>Z9:Z34</xm:sqref>
        </x14:dataValidation>
        <x14:dataValidation type="list" allowBlank="1" showInputMessage="1" showErrorMessage="1" xr:uid="{0E307C77-03B9-4DFA-8F94-97BFB34DDC29}">
          <x14:formula1>
            <xm:f>Validations!$D$4:$D$7</xm:f>
          </x14:formula1>
          <xm:sqref>AA9:AA34</xm:sqref>
        </x14:dataValidation>
        <x14:dataValidation type="list" allowBlank="1" showInputMessage="1" showErrorMessage="1" xr:uid="{73CA3729-CA48-42C6-802C-49C4B48D3FC6}">
          <x14:formula1>
            <xm:f>Validations!$C$4:$C$54</xm:f>
          </x14:formula1>
          <xm:sqref>V9:V34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F4BB5-6E3F-43B3-A316-5837B64AE8E0}">
  <sheetPr codeName="Sheet12">
    <tabColor theme="3" tint="0.39997558519241921"/>
  </sheetPr>
  <dimension ref="A1:AE90"/>
  <sheetViews>
    <sheetView showGridLines="0" view="pageBreakPreview" zoomScale="92" zoomScaleNormal="80" zoomScaleSheetLayoutView="92" workbookViewId="0">
      <selection activeCell="D12" sqref="D12:N12"/>
    </sheetView>
  </sheetViews>
  <sheetFormatPr defaultColWidth="9.5703125" defaultRowHeight="15" x14ac:dyDescent="0.2"/>
  <cols>
    <col min="1" max="1" width="7.7109375" style="106" customWidth="1"/>
    <col min="2" max="2" width="8.42578125" style="4" customWidth="1"/>
    <col min="3" max="3" width="8.42578125" style="5" customWidth="1"/>
    <col min="4" max="4" width="2.5703125" style="1" customWidth="1"/>
    <col min="5" max="5" width="7.140625" style="1" customWidth="1"/>
    <col min="6" max="6" width="8.5703125" style="1" customWidth="1"/>
    <col min="7" max="7" width="6.42578125" style="1" customWidth="1"/>
    <col min="8" max="8" width="4.7109375" style="1" customWidth="1"/>
    <col min="9" max="9" width="27.28515625" style="1" customWidth="1"/>
    <col min="10" max="10" width="2.5703125" style="1" customWidth="1"/>
    <col min="11" max="11" width="18.140625" style="1" customWidth="1"/>
    <col min="12" max="12" width="3.42578125" style="1" customWidth="1"/>
    <col min="13" max="13" width="12.140625" style="1" customWidth="1"/>
    <col min="14" max="14" width="9.5703125" style="1" customWidth="1"/>
    <col min="15" max="15" width="13.28515625" style="1" customWidth="1"/>
    <col min="16" max="16" width="8.7109375" style="1" hidden="1" customWidth="1"/>
    <col min="17" max="18" width="1.7109375" style="1" customWidth="1"/>
    <col min="19" max="19" width="11.7109375" customWidth="1"/>
    <col min="20" max="20" width="10.42578125" customWidth="1"/>
    <col min="21" max="21" width="12.5703125" style="1" customWidth="1"/>
    <col min="22" max="22" width="23.42578125" style="1" customWidth="1"/>
    <col min="23" max="23" width="12.42578125" style="1" customWidth="1"/>
    <col min="24" max="25" width="9.5703125" style="1"/>
    <col min="26" max="26" width="12.140625" style="1" customWidth="1"/>
    <col min="27" max="27" width="14.42578125" style="1" customWidth="1"/>
    <col min="28" max="28" width="20.85546875" style="1" customWidth="1"/>
    <col min="29" max="16384" width="9.5703125" style="1"/>
  </cols>
  <sheetData>
    <row r="1" spans="1:31" s="5" customFormat="1" ht="15.75" x14ac:dyDescent="0.25">
      <c r="A1" s="106"/>
      <c r="B1" s="4"/>
      <c r="C1" s="560" t="s">
        <v>338</v>
      </c>
      <c r="D1" s="561"/>
      <c r="E1" s="561"/>
      <c r="F1" s="561"/>
      <c r="G1" s="562"/>
      <c r="H1"/>
      <c r="I1" s="86" t="s">
        <v>38</v>
      </c>
      <c r="J1" s="153"/>
      <c r="K1" s="560" t="s">
        <v>12</v>
      </c>
      <c r="L1" s="562"/>
      <c r="N1"/>
      <c r="O1"/>
      <c r="P1"/>
      <c r="Q1"/>
      <c r="R1"/>
      <c r="S1" s="560" t="s">
        <v>260</v>
      </c>
      <c r="T1" s="561"/>
      <c r="U1" s="562"/>
      <c r="V1"/>
      <c r="W1"/>
      <c r="X1"/>
      <c r="Y1"/>
      <c r="Z1"/>
      <c r="AA1"/>
      <c r="AB1"/>
    </row>
    <row r="2" spans="1:31" s="5" customFormat="1" ht="15" customHeight="1" x14ac:dyDescent="0.2">
      <c r="A2" s="106"/>
      <c r="B2" s="4"/>
      <c r="C2" s="583">
        <f>'Chart Review Info'!D3</f>
        <v>0</v>
      </c>
      <c r="D2" s="584"/>
      <c r="E2" s="584"/>
      <c r="F2" s="584"/>
      <c r="G2" s="585"/>
      <c r="H2"/>
      <c r="I2" s="150">
        <f>'Chart Review Info'!D4</f>
        <v>0</v>
      </c>
      <c r="J2" s="153"/>
      <c r="K2" s="592">
        <f>'Chart Review Info'!F23</f>
        <v>0</v>
      </c>
      <c r="L2" s="591"/>
      <c r="N2"/>
      <c r="O2"/>
      <c r="P2"/>
      <c r="Q2"/>
      <c r="R2"/>
      <c r="S2" s="55">
        <f>'Chart Review Info'!G4</f>
        <v>0</v>
      </c>
      <c r="T2" s="82" t="s">
        <v>261</v>
      </c>
      <c r="U2" s="83">
        <f>'Chart Review Info'!G5</f>
        <v>0</v>
      </c>
      <c r="V2"/>
      <c r="W2"/>
      <c r="X2"/>
      <c r="Y2"/>
      <c r="Z2"/>
      <c r="AA2"/>
      <c r="AB2"/>
    </row>
    <row r="3" spans="1:31" s="5" customFormat="1" x14ac:dyDescent="0.2">
      <c r="A3" s="106"/>
      <c r="B3" s="4"/>
      <c r="C3" s="84"/>
      <c r="H3"/>
      <c r="J3" s="98"/>
      <c r="V3"/>
      <c r="W3"/>
      <c r="X3"/>
      <c r="Y3"/>
      <c r="Z3"/>
      <c r="AA3"/>
      <c r="AB3"/>
    </row>
    <row r="4" spans="1:31" s="5" customFormat="1" ht="15.75" x14ac:dyDescent="0.25">
      <c r="A4" s="106"/>
      <c r="B4" s="4"/>
      <c r="C4" s="85" t="s">
        <v>202</v>
      </c>
      <c r="E4" s="85" t="s">
        <v>86</v>
      </c>
      <c r="F4" s="86"/>
      <c r="G4" s="85"/>
      <c r="H4"/>
      <c r="I4" s="151" t="s">
        <v>350</v>
      </c>
      <c r="J4" s="98"/>
      <c r="K4" s="87" t="s">
        <v>260</v>
      </c>
      <c r="L4" s="88"/>
      <c r="O4" s="86" t="s">
        <v>294</v>
      </c>
      <c r="P4"/>
      <c r="Q4"/>
      <c r="R4"/>
      <c r="S4" s="85" t="s">
        <v>12</v>
      </c>
      <c r="T4" s="563">
        <f>Prog_10</f>
        <v>0</v>
      </c>
      <c r="U4" s="564"/>
      <c r="V4"/>
      <c r="W4"/>
      <c r="X4"/>
      <c r="Y4"/>
      <c r="Z4"/>
      <c r="AA4"/>
      <c r="AB4"/>
    </row>
    <row r="5" spans="1:31" s="5" customFormat="1" x14ac:dyDescent="0.2">
      <c r="A5" s="106"/>
      <c r="B5" s="4"/>
      <c r="C5" s="54">
        <v>10</v>
      </c>
      <c r="E5" s="589" t="str">
        <f>'Chart Review Info'!C23</f>
        <v>N/A</v>
      </c>
      <c r="F5" s="590"/>
      <c r="G5" s="591"/>
      <c r="H5"/>
      <c r="I5" s="152">
        <f>Consum_10</f>
        <v>0</v>
      </c>
      <c r="J5" s="98"/>
      <c r="K5" s="293">
        <f>'Chart Review Info'!G4</f>
        <v>0</v>
      </c>
      <c r="L5" s="102" t="s">
        <v>261</v>
      </c>
      <c r="M5" s="293">
        <f>'Chart Review Info'!G5</f>
        <v>0</v>
      </c>
      <c r="O5" s="54">
        <f>'Chart Review Info'!G23</f>
        <v>0</v>
      </c>
      <c r="P5"/>
      <c r="Q5"/>
      <c r="R5"/>
      <c r="S5"/>
      <c r="T5"/>
      <c r="V5"/>
      <c r="W5"/>
      <c r="X5"/>
      <c r="Y5" s="6" t="s">
        <v>514</v>
      </c>
      <c r="Z5"/>
      <c r="AA5"/>
      <c r="AB5"/>
    </row>
    <row r="6" spans="1:31" x14ac:dyDescent="0.2">
      <c r="C6" s="154"/>
      <c r="D6" s="158"/>
      <c r="E6" s="155"/>
      <c r="F6" s="155"/>
      <c r="G6" s="155"/>
      <c r="H6" s="155"/>
      <c r="I6" s="155"/>
      <c r="J6" s="155"/>
      <c r="K6" s="155"/>
      <c r="L6" s="155"/>
      <c r="M6" s="155"/>
      <c r="N6" s="155"/>
      <c r="O6" s="155"/>
      <c r="P6" s="155"/>
      <c r="Q6" s="155"/>
      <c r="R6" s="155"/>
      <c r="T6" s="1"/>
      <c r="W6" s="51"/>
      <c r="Y6" s="329">
        <f>SUM(Y9:Y16)</f>
        <v>0</v>
      </c>
      <c r="AA6" s="13"/>
      <c r="AB6" s="13"/>
    </row>
    <row r="7" spans="1:31" ht="23.25" x14ac:dyDescent="0.25">
      <c r="C7" s="89" t="s">
        <v>262</v>
      </c>
      <c r="D7" s="159"/>
      <c r="E7" s="90"/>
      <c r="F7" s="90"/>
      <c r="G7" s="90"/>
      <c r="H7" s="90"/>
      <c r="I7" s="90"/>
      <c r="J7" s="90"/>
      <c r="K7" s="90"/>
      <c r="L7" s="90"/>
      <c r="M7" s="90"/>
      <c r="N7" s="90"/>
      <c r="O7" s="90"/>
      <c r="P7" s="90"/>
      <c r="S7" s="20"/>
      <c r="T7" s="21"/>
      <c r="U7" s="21"/>
      <c r="V7" s="21"/>
      <c r="W7" s="21"/>
      <c r="X7" s="160" t="s">
        <v>263</v>
      </c>
      <c r="Y7" s="160"/>
      <c r="Z7" s="160"/>
      <c r="AA7" s="22"/>
      <c r="AB7" s="23"/>
    </row>
    <row r="8" spans="1:31" ht="27" customHeight="1" x14ac:dyDescent="0.25">
      <c r="C8" s="91" t="s">
        <v>264</v>
      </c>
      <c r="D8" s="588" t="s">
        <v>68</v>
      </c>
      <c r="E8" s="574"/>
      <c r="F8" s="574"/>
      <c r="G8" s="574"/>
      <c r="H8" s="574"/>
      <c r="I8" s="574"/>
      <c r="J8" s="574"/>
      <c r="K8" s="574"/>
      <c r="L8" s="574"/>
      <c r="M8" s="574"/>
      <c r="N8" s="574"/>
      <c r="O8" s="92" t="s">
        <v>265</v>
      </c>
      <c r="P8" s="92" t="s">
        <v>266</v>
      </c>
      <c r="Q8" s="359"/>
      <c r="R8" s="351"/>
      <c r="S8" s="7" t="s">
        <v>449</v>
      </c>
      <c r="T8" s="9" t="s">
        <v>87</v>
      </c>
      <c r="U8" s="7" t="s">
        <v>88</v>
      </c>
      <c r="V8" s="7" t="s">
        <v>89</v>
      </c>
      <c r="W8" s="7" t="s">
        <v>90</v>
      </c>
      <c r="X8" s="7" t="s">
        <v>644</v>
      </c>
      <c r="Y8" s="8" t="s">
        <v>201</v>
      </c>
      <c r="Z8" s="116" t="s">
        <v>91</v>
      </c>
      <c r="AA8" s="117" t="s">
        <v>95</v>
      </c>
      <c r="AB8" s="117" t="s">
        <v>92</v>
      </c>
    </row>
    <row r="9" spans="1:31" ht="60" customHeight="1" x14ac:dyDescent="0.2">
      <c r="A9" s="212" t="s">
        <v>73</v>
      </c>
      <c r="B9" s="93"/>
      <c r="C9" s="94" t="s">
        <v>204</v>
      </c>
      <c r="D9" s="567" t="s">
        <v>658</v>
      </c>
      <c r="E9" s="470"/>
      <c r="F9" s="470"/>
      <c r="G9" s="470"/>
      <c r="H9" s="470"/>
      <c r="I9" s="470"/>
      <c r="J9" s="470"/>
      <c r="K9" s="470"/>
      <c r="L9" s="470"/>
      <c r="M9" s="470"/>
      <c r="N9" s="471"/>
      <c r="O9" s="71"/>
      <c r="P9" s="95" t="str">
        <f t="shared" ref="P9:P12" si="0">IF(O9="","",IF(O9="Yes","Pass",IF(O9="No","Fail","N/A")))</f>
        <v/>
      </c>
      <c r="Q9" s="173"/>
      <c r="R9" s="173"/>
      <c r="S9" s="124"/>
      <c r="T9" s="125"/>
      <c r="U9" s="125"/>
      <c r="V9" s="125"/>
      <c r="W9" s="126"/>
      <c r="X9" s="125"/>
      <c r="Y9" s="127"/>
      <c r="Z9" s="128"/>
      <c r="AA9" s="129"/>
      <c r="AB9" s="130"/>
      <c r="AC9" s="96"/>
      <c r="AD9" s="96"/>
      <c r="AE9" s="96"/>
    </row>
    <row r="10" spans="1:31" ht="87" customHeight="1" x14ac:dyDescent="0.2">
      <c r="A10" s="107">
        <v>1</v>
      </c>
      <c r="B10" s="93"/>
      <c r="C10" s="94" t="s">
        <v>205</v>
      </c>
      <c r="D10" s="567" t="s">
        <v>528</v>
      </c>
      <c r="E10" s="586"/>
      <c r="F10" s="586"/>
      <c r="G10" s="586"/>
      <c r="H10" s="586"/>
      <c r="I10" s="586"/>
      <c r="J10" s="586"/>
      <c r="K10" s="586"/>
      <c r="L10" s="586"/>
      <c r="M10" s="586"/>
      <c r="N10" s="587"/>
      <c r="O10" s="71"/>
      <c r="P10" s="95" t="str">
        <f t="shared" si="0"/>
        <v/>
      </c>
      <c r="Q10" s="173"/>
      <c r="R10" s="173"/>
      <c r="S10" s="124"/>
      <c r="T10" s="124"/>
      <c r="U10" s="124"/>
      <c r="V10" s="125"/>
      <c r="W10" s="131"/>
      <c r="X10" s="124"/>
      <c r="Y10" s="127"/>
      <c r="Z10" s="128"/>
      <c r="AA10" s="129"/>
      <c r="AB10" s="129"/>
    </row>
    <row r="11" spans="1:31" ht="50.25" customHeight="1" x14ac:dyDescent="0.2">
      <c r="A11" s="107" t="s">
        <v>70</v>
      </c>
      <c r="B11" s="93"/>
      <c r="C11" s="94" t="s">
        <v>206</v>
      </c>
      <c r="D11" s="567" t="s">
        <v>529</v>
      </c>
      <c r="E11" s="586"/>
      <c r="F11" s="586"/>
      <c r="G11" s="586"/>
      <c r="H11" s="586"/>
      <c r="I11" s="586"/>
      <c r="J11" s="586"/>
      <c r="K11" s="586"/>
      <c r="L11" s="586"/>
      <c r="M11" s="586"/>
      <c r="N11" s="587"/>
      <c r="O11" s="71"/>
      <c r="P11" s="95" t="str">
        <f t="shared" si="0"/>
        <v/>
      </c>
      <c r="Q11" s="173"/>
      <c r="R11" s="173"/>
      <c r="S11" s="124"/>
      <c r="T11" s="124"/>
      <c r="U11" s="124"/>
      <c r="V11" s="125"/>
      <c r="W11" s="131"/>
      <c r="X11" s="124"/>
      <c r="Y11" s="127"/>
      <c r="Z11" s="128"/>
      <c r="AA11" s="129"/>
      <c r="AB11" s="129"/>
    </row>
    <row r="12" spans="1:31" ht="33.75" customHeight="1" x14ac:dyDescent="0.2">
      <c r="A12" s="106">
        <v>1</v>
      </c>
      <c r="C12" s="94" t="s">
        <v>207</v>
      </c>
      <c r="D12" s="567" t="s">
        <v>659</v>
      </c>
      <c r="E12" s="586"/>
      <c r="F12" s="586"/>
      <c r="G12" s="586"/>
      <c r="H12" s="586"/>
      <c r="I12" s="586"/>
      <c r="J12" s="586"/>
      <c r="K12" s="586"/>
      <c r="L12" s="586"/>
      <c r="M12" s="586"/>
      <c r="N12" s="587"/>
      <c r="O12" s="71"/>
      <c r="P12" s="95" t="str">
        <f t="shared" si="0"/>
        <v/>
      </c>
      <c r="Q12" s="173"/>
      <c r="R12" s="173"/>
      <c r="S12" s="124"/>
      <c r="T12" s="124"/>
      <c r="U12" s="124"/>
      <c r="V12" s="125"/>
      <c r="W12" s="131"/>
      <c r="X12" s="124"/>
      <c r="Y12" s="127"/>
      <c r="Z12" s="128"/>
      <c r="AA12" s="129"/>
      <c r="AB12" s="129"/>
    </row>
    <row r="13" spans="1:31" ht="36" customHeight="1" x14ac:dyDescent="0.2">
      <c r="A13" s="107">
        <v>1</v>
      </c>
      <c r="B13" s="93"/>
      <c r="C13" s="97" t="s">
        <v>208</v>
      </c>
      <c r="D13" s="567" t="s">
        <v>656</v>
      </c>
      <c r="E13" s="470"/>
      <c r="F13" s="470"/>
      <c r="G13" s="470"/>
      <c r="H13" s="470"/>
      <c r="I13" s="470"/>
      <c r="J13" s="470"/>
      <c r="K13" s="470"/>
      <c r="L13" s="470"/>
      <c r="M13" s="470"/>
      <c r="N13" s="471"/>
      <c r="O13" s="71"/>
      <c r="P13" s="95" t="str">
        <f t="shared" ref="P13:P19" si="1">IF(O13="","",IF(O13="Yes","Pass",IF(O13="No","Fail","N/A")))</f>
        <v/>
      </c>
      <c r="Q13" s="173"/>
      <c r="R13" s="173"/>
      <c r="S13" s="124"/>
      <c r="T13" s="124"/>
      <c r="U13" s="124"/>
      <c r="V13" s="125"/>
      <c r="W13" s="131"/>
      <c r="X13" s="124"/>
      <c r="Y13" s="127"/>
      <c r="Z13" s="128"/>
      <c r="AA13" s="129"/>
      <c r="AB13" s="129"/>
    </row>
    <row r="14" spans="1:31" ht="46.5" customHeight="1" x14ac:dyDescent="0.2">
      <c r="A14" s="107" t="s">
        <v>70</v>
      </c>
      <c r="B14" s="93"/>
      <c r="C14" s="97" t="s">
        <v>209</v>
      </c>
      <c r="D14" s="567" t="s">
        <v>530</v>
      </c>
      <c r="E14" s="586"/>
      <c r="F14" s="586"/>
      <c r="G14" s="586"/>
      <c r="H14" s="586"/>
      <c r="I14" s="586"/>
      <c r="J14" s="586"/>
      <c r="K14" s="586"/>
      <c r="L14" s="586"/>
      <c r="M14" s="586"/>
      <c r="N14" s="587"/>
      <c r="O14" s="71"/>
      <c r="P14" s="95" t="str">
        <f t="shared" si="1"/>
        <v/>
      </c>
      <c r="Q14" s="173"/>
      <c r="R14" s="173"/>
      <c r="S14" s="124"/>
      <c r="T14" s="124"/>
      <c r="U14" s="124"/>
      <c r="V14" s="125"/>
      <c r="W14" s="131"/>
      <c r="X14" s="124"/>
      <c r="Y14" s="127"/>
      <c r="Z14" s="128"/>
      <c r="AA14" s="129"/>
      <c r="AB14" s="129"/>
    </row>
    <row r="15" spans="1:31" ht="49.5" customHeight="1" x14ac:dyDescent="0.2">
      <c r="A15" s="107">
        <v>1</v>
      </c>
      <c r="B15" s="93"/>
      <c r="C15" s="94" t="s">
        <v>210</v>
      </c>
      <c r="D15" s="567" t="s">
        <v>531</v>
      </c>
      <c r="E15" s="586"/>
      <c r="F15" s="586"/>
      <c r="G15" s="586"/>
      <c r="H15" s="586"/>
      <c r="I15" s="586"/>
      <c r="J15" s="586"/>
      <c r="K15" s="586"/>
      <c r="L15" s="586"/>
      <c r="M15" s="586"/>
      <c r="N15" s="587"/>
      <c r="O15" s="71"/>
      <c r="P15" s="95" t="str">
        <f t="shared" si="1"/>
        <v/>
      </c>
      <c r="Q15" s="173"/>
      <c r="R15" s="173"/>
      <c r="S15" s="124"/>
      <c r="T15" s="124"/>
      <c r="U15" s="124"/>
      <c r="V15" s="125"/>
      <c r="W15" s="131"/>
      <c r="X15" s="124"/>
      <c r="Y15" s="127"/>
      <c r="Z15" s="128"/>
      <c r="AA15" s="129"/>
      <c r="AB15" s="129"/>
    </row>
    <row r="16" spans="1:31" ht="66.75" customHeight="1" x14ac:dyDescent="0.2">
      <c r="A16" s="106">
        <v>1</v>
      </c>
      <c r="C16" s="97" t="s">
        <v>211</v>
      </c>
      <c r="D16" s="567" t="s">
        <v>532</v>
      </c>
      <c r="E16" s="586"/>
      <c r="F16" s="586"/>
      <c r="G16" s="586"/>
      <c r="H16" s="586"/>
      <c r="I16" s="586"/>
      <c r="J16" s="586"/>
      <c r="K16" s="586"/>
      <c r="L16" s="586"/>
      <c r="M16" s="586"/>
      <c r="N16" s="587"/>
      <c r="O16" s="71"/>
      <c r="P16" s="95" t="str">
        <f t="shared" si="1"/>
        <v/>
      </c>
      <c r="Q16" s="173"/>
      <c r="R16" s="173"/>
      <c r="S16" s="124"/>
      <c r="T16" s="124"/>
      <c r="U16" s="124"/>
      <c r="V16" s="125"/>
      <c r="W16" s="131"/>
      <c r="X16" s="124"/>
      <c r="Y16" s="127"/>
      <c r="Z16" s="128"/>
      <c r="AA16" s="129"/>
      <c r="AB16" s="129"/>
    </row>
    <row r="17" spans="1:28" ht="39" customHeight="1" x14ac:dyDescent="0.2">
      <c r="A17" s="107" t="s">
        <v>70</v>
      </c>
      <c r="B17" s="93"/>
      <c r="C17" s="97" t="s">
        <v>212</v>
      </c>
      <c r="D17" s="567" t="s">
        <v>533</v>
      </c>
      <c r="E17" s="586"/>
      <c r="F17" s="586"/>
      <c r="G17" s="586"/>
      <c r="H17" s="586"/>
      <c r="I17" s="586"/>
      <c r="J17" s="586"/>
      <c r="K17" s="586"/>
      <c r="L17" s="586"/>
      <c r="M17" s="586"/>
      <c r="N17" s="587"/>
      <c r="O17" s="71"/>
      <c r="P17" s="95" t="str">
        <f t="shared" si="1"/>
        <v/>
      </c>
      <c r="Q17" s="173"/>
      <c r="R17" s="173"/>
      <c r="S17" s="124"/>
      <c r="T17" s="124"/>
      <c r="U17" s="124"/>
      <c r="V17" s="125"/>
      <c r="W17" s="131"/>
      <c r="X17" s="124"/>
      <c r="Y17" s="127"/>
      <c r="Z17" s="128"/>
      <c r="AA17" s="129"/>
      <c r="AB17" s="129"/>
    </row>
    <row r="18" spans="1:28" ht="83.25" customHeight="1" x14ac:dyDescent="0.2">
      <c r="A18" s="107" t="s">
        <v>70</v>
      </c>
      <c r="B18" s="93"/>
      <c r="C18" s="94" t="s">
        <v>657</v>
      </c>
      <c r="D18" s="567" t="s">
        <v>534</v>
      </c>
      <c r="E18" s="586"/>
      <c r="F18" s="586"/>
      <c r="G18" s="586"/>
      <c r="H18" s="586"/>
      <c r="I18" s="586"/>
      <c r="J18" s="586"/>
      <c r="K18" s="586"/>
      <c r="L18" s="586"/>
      <c r="M18" s="586"/>
      <c r="N18" s="587"/>
      <c r="O18" s="71"/>
      <c r="P18" s="95" t="str">
        <f t="shared" si="1"/>
        <v/>
      </c>
      <c r="Q18" s="173"/>
      <c r="R18" s="173"/>
      <c r="S18" s="124"/>
      <c r="T18" s="124"/>
      <c r="U18" s="124"/>
      <c r="V18" s="125"/>
      <c r="W18" s="131"/>
      <c r="X18" s="124"/>
      <c r="Y18" s="127"/>
      <c r="Z18" s="128"/>
      <c r="AA18" s="129"/>
      <c r="AB18" s="129"/>
    </row>
    <row r="19" spans="1:28" ht="47.25" customHeight="1" x14ac:dyDescent="0.2">
      <c r="A19" s="107" t="s">
        <v>81</v>
      </c>
      <c r="B19" s="93"/>
      <c r="C19" s="391" t="s">
        <v>213</v>
      </c>
      <c r="D19" s="571" t="s">
        <v>535</v>
      </c>
      <c r="E19" s="572"/>
      <c r="F19" s="572"/>
      <c r="G19" s="572"/>
      <c r="H19" s="572"/>
      <c r="I19" s="572"/>
      <c r="J19" s="572"/>
      <c r="K19" s="572"/>
      <c r="L19" s="572"/>
      <c r="M19" s="572"/>
      <c r="N19" s="572"/>
      <c r="O19" s="71"/>
      <c r="P19" s="95" t="str">
        <f t="shared" si="1"/>
        <v/>
      </c>
      <c r="Q19" s="173"/>
      <c r="R19" s="173"/>
      <c r="S19" s="124"/>
      <c r="T19" s="124"/>
      <c r="U19" s="124"/>
      <c r="V19" s="125"/>
      <c r="W19" s="131"/>
      <c r="X19" s="124"/>
      <c r="Y19" s="127"/>
      <c r="Z19" s="128"/>
      <c r="AA19" s="129"/>
      <c r="AB19" s="129"/>
    </row>
    <row r="20" spans="1:28" ht="22.5" customHeight="1" x14ac:dyDescent="0.2">
      <c r="A20" s="106">
        <v>1</v>
      </c>
      <c r="B20" s="93"/>
      <c r="C20" s="575" t="s">
        <v>267</v>
      </c>
      <c r="D20" s="470"/>
      <c r="E20" s="470"/>
      <c r="F20" s="470"/>
      <c r="G20" s="470"/>
      <c r="H20" s="470"/>
      <c r="I20" s="470"/>
      <c r="J20" s="470"/>
      <c r="K20" s="470"/>
      <c r="L20" s="470"/>
      <c r="M20" s="470"/>
      <c r="N20" s="470"/>
      <c r="O20"/>
      <c r="P20" s="392"/>
      <c r="Q20" s="174"/>
      <c r="R20" s="174"/>
      <c r="S20" s="124"/>
      <c r="T20" s="124"/>
      <c r="U20" s="124"/>
      <c r="V20" s="125"/>
      <c r="W20" s="131"/>
      <c r="X20" s="124"/>
      <c r="Y20" s="127"/>
      <c r="Z20" s="128"/>
      <c r="AA20" s="129"/>
      <c r="AB20" s="129"/>
    </row>
    <row r="21" spans="1:28" ht="30.75" customHeight="1" x14ac:dyDescent="0.2">
      <c r="A21" s="107" t="s">
        <v>73</v>
      </c>
      <c r="C21" s="581" t="s">
        <v>17</v>
      </c>
      <c r="D21" s="470"/>
      <c r="E21" s="470"/>
      <c r="F21" s="470"/>
      <c r="G21" s="470"/>
      <c r="H21" s="470"/>
      <c r="I21" s="470"/>
      <c r="J21" s="470"/>
      <c r="K21" s="470"/>
      <c r="L21" s="470"/>
      <c r="M21" s="470"/>
      <c r="N21" s="471"/>
      <c r="O21" s="345"/>
      <c r="P21" s="343"/>
      <c r="Q21" s="172"/>
      <c r="R21" s="172"/>
      <c r="S21" s="124"/>
      <c r="T21" s="124"/>
      <c r="U21" s="124"/>
      <c r="V21" s="125"/>
      <c r="W21" s="131"/>
      <c r="X21" s="124"/>
      <c r="Y21" s="132"/>
      <c r="Z21" s="128"/>
      <c r="AA21" s="129"/>
      <c r="AB21" s="129"/>
    </row>
    <row r="22" spans="1:28" ht="18" customHeight="1" x14ac:dyDescent="0.25">
      <c r="C22" s="100" t="s">
        <v>264</v>
      </c>
      <c r="D22" s="573" t="s">
        <v>71</v>
      </c>
      <c r="E22" s="574"/>
      <c r="F22" s="574"/>
      <c r="G22" s="574"/>
      <c r="H22" s="574"/>
      <c r="I22" s="574"/>
      <c r="J22" s="574"/>
      <c r="K22" s="574"/>
      <c r="L22" s="574"/>
      <c r="M22" s="574"/>
      <c r="N22" s="440"/>
      <c r="O22" s="101" t="s">
        <v>265</v>
      </c>
      <c r="P22" s="101" t="s">
        <v>266</v>
      </c>
      <c r="Q22" s="359"/>
      <c r="R22" s="175"/>
      <c r="S22" s="124"/>
      <c r="T22" s="124"/>
      <c r="U22" s="124"/>
      <c r="V22" s="125"/>
      <c r="W22" s="131"/>
      <c r="X22" s="124"/>
      <c r="Y22" s="127"/>
      <c r="Z22" s="128"/>
      <c r="AA22" s="129"/>
      <c r="AB22" s="129"/>
    </row>
    <row r="23" spans="1:28" ht="18" customHeight="1" x14ac:dyDescent="0.2">
      <c r="A23" s="106">
        <v>1</v>
      </c>
      <c r="C23" s="102" t="s">
        <v>215</v>
      </c>
      <c r="D23" s="567" t="s">
        <v>268</v>
      </c>
      <c r="E23" s="470"/>
      <c r="F23" s="470"/>
      <c r="G23" s="470"/>
      <c r="H23" s="470"/>
      <c r="I23" s="470"/>
      <c r="J23" s="470"/>
      <c r="K23" s="470"/>
      <c r="L23" s="470"/>
      <c r="M23" s="470"/>
      <c r="N23" s="471"/>
      <c r="O23" s="71"/>
      <c r="P23" s="95" t="str">
        <f>IF(O23="","",IF(O23="Yes","Pass",IF(O23="No","Fail","N/A")))</f>
        <v/>
      </c>
      <c r="Q23" s="173"/>
      <c r="R23" s="173"/>
      <c r="S23" s="124"/>
      <c r="T23" s="124"/>
      <c r="U23" s="124"/>
      <c r="V23" s="125"/>
      <c r="W23" s="131"/>
      <c r="X23" s="124"/>
      <c r="Y23" s="127"/>
      <c r="Z23" s="128"/>
      <c r="AA23" s="129"/>
      <c r="AB23" s="129"/>
    </row>
    <row r="24" spans="1:28" ht="45" customHeight="1" x14ac:dyDescent="0.2">
      <c r="A24" s="107" t="s">
        <v>69</v>
      </c>
      <c r="C24" s="97" t="s">
        <v>216</v>
      </c>
      <c r="D24" s="567" t="s">
        <v>269</v>
      </c>
      <c r="E24" s="470"/>
      <c r="F24" s="470"/>
      <c r="G24" s="470"/>
      <c r="H24" s="470"/>
      <c r="I24" s="470"/>
      <c r="J24" s="470"/>
      <c r="K24" s="470"/>
      <c r="L24" s="470"/>
      <c r="M24" s="470"/>
      <c r="N24" s="471"/>
      <c r="O24" s="71"/>
      <c r="P24" s="95" t="str">
        <f>IF(O24="","",IF(O24="Yes","Pass",IF(O24="No","Fail","N/A")))</f>
        <v/>
      </c>
      <c r="Q24" s="173"/>
      <c r="R24" s="173"/>
      <c r="S24" s="124"/>
      <c r="T24" s="124"/>
      <c r="U24" s="124"/>
      <c r="V24" s="125"/>
      <c r="W24" s="131"/>
      <c r="X24" s="124"/>
      <c r="Y24" s="127"/>
      <c r="Z24" s="128"/>
      <c r="AA24" s="129"/>
      <c r="AB24" s="129"/>
    </row>
    <row r="25" spans="1:28" ht="45" customHeight="1" x14ac:dyDescent="0.2">
      <c r="A25" s="107" t="s">
        <v>69</v>
      </c>
      <c r="B25" s="93"/>
      <c r="C25" s="97" t="s">
        <v>217</v>
      </c>
      <c r="D25" s="567" t="s">
        <v>270</v>
      </c>
      <c r="E25" s="470"/>
      <c r="F25" s="470"/>
      <c r="G25" s="470"/>
      <c r="H25" s="470"/>
      <c r="I25" s="470"/>
      <c r="J25" s="470"/>
      <c r="K25" s="470"/>
      <c r="L25" s="470"/>
      <c r="M25" s="470"/>
      <c r="N25" s="471"/>
      <c r="O25" s="71"/>
      <c r="P25" s="95" t="str">
        <f>IF(O25="","",IF(O25="Yes","Pass",IF(O25="No","Fail","N/A")))</f>
        <v/>
      </c>
      <c r="Q25" s="173"/>
      <c r="R25" s="173"/>
      <c r="S25" s="124"/>
      <c r="T25" s="124"/>
      <c r="U25" s="124"/>
      <c r="V25" s="125"/>
      <c r="W25" s="131"/>
      <c r="X25" s="124"/>
      <c r="Y25" s="127"/>
      <c r="Z25" s="128"/>
      <c r="AA25" s="129"/>
      <c r="AB25" s="129"/>
    </row>
    <row r="26" spans="1:28" ht="51.75" customHeight="1" x14ac:dyDescent="0.2">
      <c r="A26" s="107" t="s">
        <v>69</v>
      </c>
      <c r="B26" s="93"/>
      <c r="C26" s="97" t="s">
        <v>218</v>
      </c>
      <c r="D26" s="567" t="s">
        <v>271</v>
      </c>
      <c r="E26" s="470"/>
      <c r="F26" s="470"/>
      <c r="G26" s="470"/>
      <c r="H26" s="470"/>
      <c r="I26" s="470"/>
      <c r="J26" s="470"/>
      <c r="K26" s="470"/>
      <c r="L26" s="470"/>
      <c r="M26" s="470"/>
      <c r="N26" s="470"/>
      <c r="O26" s="71"/>
      <c r="P26" s="95" t="str">
        <f>IF(O26="","",IF(O26="Yes","Pass",IF(O26="No","Fail","N/A")))</f>
        <v/>
      </c>
      <c r="Q26" s="173"/>
      <c r="R26" s="173"/>
      <c r="S26" s="124"/>
      <c r="T26" s="124"/>
      <c r="U26" s="124"/>
      <c r="V26" s="125"/>
      <c r="W26" s="131"/>
      <c r="X26" s="124"/>
      <c r="Y26" s="127"/>
      <c r="Z26" s="128"/>
      <c r="AA26" s="129"/>
      <c r="AB26" s="129"/>
    </row>
    <row r="27" spans="1:28" ht="22.5" customHeight="1" x14ac:dyDescent="0.2">
      <c r="A27" s="106">
        <v>1</v>
      </c>
      <c r="B27" s="93"/>
      <c r="C27" s="580" t="s">
        <v>272</v>
      </c>
      <c r="D27" s="470"/>
      <c r="E27" s="470"/>
      <c r="F27" s="470"/>
      <c r="G27" s="470"/>
      <c r="H27" s="470"/>
      <c r="I27" s="470"/>
      <c r="J27" s="470"/>
      <c r="K27" s="470"/>
      <c r="L27" s="470"/>
      <c r="M27" s="470"/>
      <c r="N27" s="470"/>
      <c r="O27" s="341"/>
      <c r="Q27" s="123"/>
      <c r="R27" s="123"/>
      <c r="S27" s="124"/>
      <c r="T27" s="124"/>
      <c r="U27" s="124"/>
      <c r="V27" s="125"/>
      <c r="W27" s="131"/>
      <c r="X27" s="124"/>
      <c r="Y27" s="127"/>
      <c r="Z27" s="128"/>
      <c r="AA27" s="129"/>
      <c r="AB27" s="129"/>
    </row>
    <row r="28" spans="1:28" ht="29.25" customHeight="1" x14ac:dyDescent="0.2">
      <c r="A28" s="107" t="s">
        <v>73</v>
      </c>
      <c r="C28" s="581" t="s">
        <v>17</v>
      </c>
      <c r="D28" s="470"/>
      <c r="E28" s="470"/>
      <c r="F28" s="470"/>
      <c r="G28" s="470"/>
      <c r="H28" s="470"/>
      <c r="I28" s="470"/>
      <c r="J28" s="470"/>
      <c r="K28" s="470"/>
      <c r="L28" s="470"/>
      <c r="M28" s="470"/>
      <c r="N28" s="470"/>
      <c r="O28" s="345"/>
      <c r="P28" s="340"/>
      <c r="Q28" s="123"/>
      <c r="R28" s="123"/>
      <c r="S28" s="124"/>
      <c r="T28" s="124"/>
      <c r="U28" s="124"/>
      <c r="V28" s="125"/>
      <c r="W28" s="131"/>
      <c r="X28" s="133"/>
      <c r="Y28" s="132"/>
      <c r="Z28" s="128"/>
      <c r="AA28" s="129"/>
      <c r="AB28" s="129"/>
    </row>
    <row r="29" spans="1:28" ht="24" customHeight="1" x14ac:dyDescent="0.25">
      <c r="C29" s="100" t="s">
        <v>264</v>
      </c>
      <c r="D29" s="573" t="s">
        <v>465</v>
      </c>
      <c r="E29" s="574"/>
      <c r="F29" s="574"/>
      <c r="G29" s="574"/>
      <c r="H29" s="574"/>
      <c r="I29" s="574"/>
      <c r="J29" s="574"/>
      <c r="K29" s="574"/>
      <c r="L29" s="574"/>
      <c r="M29" s="574"/>
      <c r="N29" s="574"/>
      <c r="O29" s="101" t="s">
        <v>265</v>
      </c>
      <c r="P29" s="101" t="s">
        <v>266</v>
      </c>
      <c r="Q29" s="359"/>
      <c r="R29" s="175"/>
      <c r="S29" s="124"/>
      <c r="T29" s="124"/>
      <c r="U29" s="124"/>
      <c r="V29" s="125"/>
      <c r="W29" s="131"/>
      <c r="X29" s="133"/>
      <c r="Y29" s="132"/>
      <c r="Z29" s="128"/>
      <c r="AA29" s="129"/>
      <c r="AB29" s="129"/>
    </row>
    <row r="30" spans="1:28" ht="66" customHeight="1" x14ac:dyDescent="0.2">
      <c r="A30" s="107" t="s">
        <v>69</v>
      </c>
      <c r="C30" s="102" t="s">
        <v>466</v>
      </c>
      <c r="D30" s="567" t="s">
        <v>467</v>
      </c>
      <c r="E30" s="572"/>
      <c r="F30" s="572"/>
      <c r="G30" s="572"/>
      <c r="H30" s="572"/>
      <c r="I30" s="572"/>
      <c r="J30" s="572"/>
      <c r="K30" s="572"/>
      <c r="L30" s="572"/>
      <c r="M30" s="572"/>
      <c r="N30" s="572"/>
      <c r="O30" s="71"/>
      <c r="P30" s="95" t="str">
        <f t="shared" ref="P30:P31" si="2">IF(O30="","",IF(O30="Yes","Pass",IF(O30="No","Fail","N/A")))</f>
        <v/>
      </c>
      <c r="Q30" s="173"/>
      <c r="R30" s="173"/>
      <c r="S30" s="124"/>
      <c r="T30" s="124"/>
      <c r="U30" s="124"/>
      <c r="V30" s="125"/>
      <c r="W30" s="131"/>
      <c r="X30" s="133"/>
      <c r="Y30" s="132"/>
      <c r="Z30" s="128"/>
      <c r="AA30" s="129"/>
      <c r="AB30" s="129"/>
    </row>
    <row r="31" spans="1:28" ht="33.75" customHeight="1" x14ac:dyDescent="0.2">
      <c r="A31" s="107" t="s">
        <v>73</v>
      </c>
      <c r="B31" s="93"/>
      <c r="C31" s="102" t="s">
        <v>471</v>
      </c>
      <c r="D31" s="579" t="s">
        <v>468</v>
      </c>
      <c r="E31" s="572"/>
      <c r="F31" s="572"/>
      <c r="G31" s="572"/>
      <c r="H31" s="572"/>
      <c r="I31" s="572"/>
      <c r="J31" s="572"/>
      <c r="K31" s="572"/>
      <c r="L31" s="572"/>
      <c r="M31" s="572"/>
      <c r="N31" s="572"/>
      <c r="O31" s="71"/>
      <c r="P31" s="95" t="str">
        <f t="shared" si="2"/>
        <v/>
      </c>
      <c r="Q31" s="173"/>
      <c r="R31" s="173"/>
      <c r="S31" s="124"/>
      <c r="T31" s="124"/>
      <c r="U31" s="124"/>
      <c r="V31" s="125"/>
      <c r="W31" s="131"/>
      <c r="X31" s="133"/>
      <c r="Y31" s="132"/>
      <c r="Z31" s="128"/>
      <c r="AA31" s="129"/>
      <c r="AB31" s="129"/>
    </row>
    <row r="32" spans="1:28" ht="45" customHeight="1" x14ac:dyDescent="0.2">
      <c r="A32" s="107" t="s">
        <v>69</v>
      </c>
      <c r="B32" s="93"/>
      <c r="C32" s="102" t="s">
        <v>472</v>
      </c>
      <c r="D32" s="579" t="s">
        <v>469</v>
      </c>
      <c r="E32" s="572"/>
      <c r="F32" s="572"/>
      <c r="G32" s="572"/>
      <c r="H32" s="572"/>
      <c r="I32" s="572"/>
      <c r="J32" s="572"/>
      <c r="K32" s="572"/>
      <c r="L32" s="572"/>
      <c r="M32" s="572"/>
      <c r="N32" s="572"/>
      <c r="O32" s="71"/>
      <c r="P32" s="95" t="str">
        <f>IF(O32="","",IF(O32="Yes","Pass",IF(O32="No","Fail","N/A")))</f>
        <v/>
      </c>
      <c r="Q32" s="173"/>
      <c r="R32" s="173"/>
      <c r="S32" s="124"/>
      <c r="T32" s="124"/>
      <c r="U32" s="124"/>
      <c r="V32" s="125"/>
      <c r="W32" s="131"/>
      <c r="X32" s="133"/>
      <c r="Y32" s="132"/>
      <c r="Z32" s="128"/>
      <c r="AA32" s="129"/>
      <c r="AB32" s="129"/>
    </row>
    <row r="33" spans="1:28" ht="30" customHeight="1" x14ac:dyDescent="0.2">
      <c r="A33" s="107" t="s">
        <v>70</v>
      </c>
      <c r="B33" s="93"/>
      <c r="C33" s="102" t="s">
        <v>473</v>
      </c>
      <c r="D33" s="579" t="s">
        <v>470</v>
      </c>
      <c r="E33" s="572"/>
      <c r="F33" s="572"/>
      <c r="G33" s="572"/>
      <c r="H33" s="572"/>
      <c r="I33" s="572"/>
      <c r="J33" s="572"/>
      <c r="K33" s="572"/>
      <c r="L33" s="572"/>
      <c r="M33" s="572"/>
      <c r="N33" s="572"/>
      <c r="O33" s="71"/>
      <c r="P33" s="95" t="str">
        <f>IF(O33="","",IF(O33="Yes","Pass",IF(O33="No","Fail","N/A")))</f>
        <v/>
      </c>
      <c r="Q33" s="173"/>
      <c r="R33" s="173"/>
      <c r="S33" s="124"/>
      <c r="T33" s="124"/>
      <c r="U33" s="124"/>
      <c r="V33" s="125"/>
      <c r="W33" s="131"/>
      <c r="X33" s="133"/>
      <c r="Y33" s="132"/>
      <c r="Z33" s="128"/>
      <c r="AA33" s="129"/>
      <c r="AB33" s="129"/>
    </row>
    <row r="34" spans="1:28" ht="24" customHeight="1" x14ac:dyDescent="0.2">
      <c r="A34" s="107" t="s">
        <v>69</v>
      </c>
      <c r="B34" s="93"/>
      <c r="C34" s="580" t="s">
        <v>545</v>
      </c>
      <c r="D34" s="470"/>
      <c r="E34" s="470"/>
      <c r="F34" s="470"/>
      <c r="G34" s="470"/>
      <c r="H34" s="470"/>
      <c r="I34" s="470"/>
      <c r="J34" s="470"/>
      <c r="K34" s="470"/>
      <c r="L34" s="470"/>
      <c r="M34" s="470"/>
      <c r="N34" s="470"/>
      <c r="O34" s="341"/>
      <c r="Q34" s="359"/>
      <c r="S34" s="124"/>
      <c r="T34" s="124"/>
      <c r="U34" s="124"/>
      <c r="V34" s="125"/>
      <c r="W34" s="131"/>
      <c r="X34" s="133"/>
      <c r="Y34" s="132"/>
      <c r="Z34" s="128"/>
      <c r="AA34" s="129"/>
      <c r="AB34" s="129"/>
    </row>
    <row r="35" spans="1:28" ht="27.75" customHeight="1" x14ac:dyDescent="0.2">
      <c r="A35" s="107" t="s">
        <v>69</v>
      </c>
      <c r="B35" s="93"/>
      <c r="C35" s="581" t="s">
        <v>17</v>
      </c>
      <c r="D35" s="470"/>
      <c r="E35" s="470"/>
      <c r="F35" s="470"/>
      <c r="G35" s="470"/>
      <c r="H35" s="470"/>
      <c r="I35" s="470"/>
      <c r="J35" s="470"/>
      <c r="K35" s="470"/>
      <c r="L35" s="470"/>
      <c r="M35" s="470"/>
      <c r="N35" s="470"/>
      <c r="O35" s="345"/>
      <c r="Q35" s="173"/>
      <c r="R35"/>
      <c r="U35"/>
      <c r="V35"/>
      <c r="W35"/>
      <c r="X35"/>
      <c r="Y35"/>
      <c r="Z35"/>
      <c r="AA35"/>
      <c r="AB35"/>
    </row>
    <row r="36" spans="1:28" ht="24.75" customHeight="1" x14ac:dyDescent="0.25">
      <c r="A36" s="107" t="s">
        <v>70</v>
      </c>
      <c r="B36" s="93"/>
      <c r="C36" s="100" t="s">
        <v>264</v>
      </c>
      <c r="D36" s="573" t="s">
        <v>72</v>
      </c>
      <c r="E36" s="574"/>
      <c r="F36" s="574"/>
      <c r="G36" s="574"/>
      <c r="H36" s="574"/>
      <c r="I36" s="574"/>
      <c r="J36" s="574"/>
      <c r="K36" s="574"/>
      <c r="L36" s="574"/>
      <c r="M36" s="574"/>
      <c r="N36" s="440"/>
      <c r="O36" s="101" t="s">
        <v>265</v>
      </c>
      <c r="P36" s="101" t="s">
        <v>266</v>
      </c>
      <c r="Q36" s="173"/>
      <c r="R36"/>
      <c r="U36"/>
      <c r="V36"/>
      <c r="W36"/>
      <c r="X36"/>
      <c r="Y36"/>
      <c r="Z36"/>
      <c r="AA36"/>
      <c r="AB36"/>
    </row>
    <row r="37" spans="1:28" ht="31.5" customHeight="1" x14ac:dyDescent="0.2">
      <c r="A37" s="107" t="s">
        <v>73</v>
      </c>
      <c r="B37" s="93"/>
      <c r="C37" s="103" t="s">
        <v>220</v>
      </c>
      <c r="D37" s="445" t="s">
        <v>544</v>
      </c>
      <c r="E37" s="568"/>
      <c r="F37" s="568"/>
      <c r="G37" s="568"/>
      <c r="H37" s="568"/>
      <c r="I37" s="568"/>
      <c r="J37" s="568"/>
      <c r="K37" s="568"/>
      <c r="L37" s="568"/>
      <c r="M37" s="568"/>
      <c r="N37" s="569"/>
      <c r="O37" s="71"/>
      <c r="P37" s="95" t="str">
        <f>IF(O37="","",IF(O37="Yes","Pass",IF(O37="No","Fail","N/A")))</f>
        <v/>
      </c>
      <c r="Q37" s="173"/>
      <c r="R37"/>
      <c r="U37"/>
      <c r="V37"/>
      <c r="W37"/>
      <c r="X37"/>
      <c r="Y37"/>
      <c r="Z37"/>
      <c r="AA37"/>
      <c r="AB37"/>
    </row>
    <row r="38" spans="1:28" ht="30" customHeight="1" x14ac:dyDescent="0.2">
      <c r="A38" s="107" t="s">
        <v>70</v>
      </c>
      <c r="B38" s="93"/>
      <c r="C38" s="185"/>
      <c r="D38" s="296" t="s">
        <v>351</v>
      </c>
      <c r="E38" s="297"/>
      <c r="F38" s="298"/>
      <c r="G38" s="299"/>
      <c r="I38" s="300" t="s">
        <v>352</v>
      </c>
      <c r="J38" s="299"/>
      <c r="K38" s="301" t="s">
        <v>353</v>
      </c>
      <c r="L38" s="191"/>
      <c r="M38" s="302"/>
      <c r="N38" s="303" t="e">
        <f>J38/G38</f>
        <v>#DIV/0!</v>
      </c>
      <c r="Q38" s="173"/>
      <c r="R38"/>
      <c r="U38"/>
      <c r="V38"/>
      <c r="W38"/>
      <c r="X38"/>
      <c r="Y38"/>
      <c r="Z38"/>
      <c r="AA38"/>
      <c r="AB38"/>
    </row>
    <row r="39" spans="1:28" ht="38.25" customHeight="1" x14ac:dyDescent="0.2">
      <c r="A39" s="107" t="s">
        <v>73</v>
      </c>
      <c r="B39" s="93"/>
      <c r="C39" s="97" t="s">
        <v>133</v>
      </c>
      <c r="D39" s="579" t="s">
        <v>645</v>
      </c>
      <c r="E39" s="572"/>
      <c r="F39" s="572"/>
      <c r="G39" s="572"/>
      <c r="H39" s="572"/>
      <c r="I39" s="572"/>
      <c r="J39" s="572"/>
      <c r="K39" s="572"/>
      <c r="L39" s="572"/>
      <c r="M39" s="572"/>
      <c r="N39" s="572"/>
      <c r="O39" s="71"/>
      <c r="P39" s="95" t="str">
        <f t="shared" ref="P39:P49" si="3">IF(O39="","",IF(O39="Yes","Pass",IF(O39="No","Fail","N/A")))</f>
        <v/>
      </c>
      <c r="Q39" s="173"/>
      <c r="R39"/>
      <c r="U39"/>
      <c r="V39"/>
      <c r="W39"/>
      <c r="X39"/>
      <c r="Y39"/>
      <c r="Z39"/>
      <c r="AA39"/>
      <c r="AB39"/>
    </row>
    <row r="40" spans="1:28" ht="30" customHeight="1" x14ac:dyDescent="0.2">
      <c r="A40" s="107" t="s">
        <v>70</v>
      </c>
      <c r="B40" s="93"/>
      <c r="C40" s="97" t="s">
        <v>221</v>
      </c>
      <c r="D40" s="579" t="s">
        <v>536</v>
      </c>
      <c r="E40" s="470"/>
      <c r="F40" s="470"/>
      <c r="G40" s="470"/>
      <c r="H40" s="470"/>
      <c r="I40" s="470"/>
      <c r="J40" s="470"/>
      <c r="K40" s="470"/>
      <c r="L40" s="470"/>
      <c r="M40" s="470"/>
      <c r="N40" s="470"/>
      <c r="O40" s="71"/>
      <c r="P40" s="95" t="str">
        <f t="shared" si="3"/>
        <v/>
      </c>
      <c r="Q40" s="173"/>
      <c r="R40"/>
      <c r="U40"/>
      <c r="V40"/>
      <c r="W40"/>
      <c r="X40"/>
      <c r="Y40"/>
      <c r="Z40"/>
      <c r="AA40"/>
      <c r="AB40"/>
    </row>
    <row r="41" spans="1:28" ht="41.25" customHeight="1" x14ac:dyDescent="0.2">
      <c r="A41" s="107">
        <v>1</v>
      </c>
      <c r="B41" s="93"/>
      <c r="C41" s="103" t="s">
        <v>222</v>
      </c>
      <c r="D41" s="445" t="s">
        <v>537</v>
      </c>
      <c r="E41" s="568"/>
      <c r="F41" s="568"/>
      <c r="G41" s="568"/>
      <c r="H41" s="568"/>
      <c r="I41" s="568"/>
      <c r="J41" s="568"/>
      <c r="K41" s="568"/>
      <c r="L41" s="568"/>
      <c r="M41" s="568"/>
      <c r="N41" s="569"/>
      <c r="O41" s="71"/>
      <c r="P41" s="95" t="str">
        <f t="shared" si="3"/>
        <v/>
      </c>
      <c r="Q41" s="173"/>
      <c r="R41"/>
      <c r="U41"/>
      <c r="V41"/>
      <c r="W41"/>
      <c r="X41"/>
      <c r="Y41"/>
      <c r="Z41"/>
      <c r="AA41"/>
      <c r="AB41"/>
    </row>
    <row r="42" spans="1:28" ht="34.5" customHeight="1" x14ac:dyDescent="0.2">
      <c r="A42" s="107"/>
      <c r="B42" s="93"/>
      <c r="C42" s="97" t="s">
        <v>223</v>
      </c>
      <c r="D42" s="445" t="s">
        <v>538</v>
      </c>
      <c r="E42" s="568"/>
      <c r="F42" s="568"/>
      <c r="G42" s="568"/>
      <c r="H42" s="568"/>
      <c r="I42" s="568"/>
      <c r="J42" s="568"/>
      <c r="K42" s="568"/>
      <c r="L42" s="568"/>
      <c r="M42" s="568"/>
      <c r="N42" s="569"/>
      <c r="O42" s="71"/>
      <c r="P42" s="95" t="str">
        <f t="shared" si="3"/>
        <v/>
      </c>
      <c r="Q42" s="173"/>
      <c r="R42"/>
      <c r="U42"/>
      <c r="V42"/>
      <c r="W42"/>
      <c r="X42"/>
      <c r="Y42"/>
      <c r="Z42"/>
      <c r="AA42"/>
      <c r="AB42"/>
    </row>
    <row r="43" spans="1:28" ht="33" customHeight="1" x14ac:dyDescent="0.2">
      <c r="A43" s="106">
        <v>1</v>
      </c>
      <c r="B43" s="93"/>
      <c r="C43" s="97" t="s">
        <v>224</v>
      </c>
      <c r="D43" s="445" t="s">
        <v>273</v>
      </c>
      <c r="E43" s="568"/>
      <c r="F43" s="568"/>
      <c r="G43" s="568"/>
      <c r="H43" s="568"/>
      <c r="I43" s="568"/>
      <c r="J43" s="568"/>
      <c r="K43" s="568"/>
      <c r="L43" s="568"/>
      <c r="M43" s="568"/>
      <c r="N43" s="569"/>
      <c r="O43" s="71"/>
      <c r="P43" s="95" t="str">
        <f t="shared" si="3"/>
        <v/>
      </c>
      <c r="Q43" s="173"/>
      <c r="R43"/>
      <c r="U43"/>
      <c r="V43"/>
      <c r="W43"/>
      <c r="X43"/>
      <c r="Y43"/>
      <c r="Z43"/>
      <c r="AA43"/>
      <c r="AB43"/>
    </row>
    <row r="44" spans="1:28" ht="35.25" customHeight="1" x14ac:dyDescent="0.2">
      <c r="A44" s="107" t="s">
        <v>73</v>
      </c>
      <c r="C44" s="103" t="s">
        <v>225</v>
      </c>
      <c r="D44" s="567" t="s">
        <v>274</v>
      </c>
      <c r="E44" s="470"/>
      <c r="F44" s="470"/>
      <c r="G44" s="470"/>
      <c r="H44" s="470"/>
      <c r="I44" s="470"/>
      <c r="J44" s="470"/>
      <c r="K44" s="470"/>
      <c r="L44" s="470"/>
      <c r="M44" s="470"/>
      <c r="N44" s="470"/>
      <c r="O44" s="71"/>
      <c r="P44" s="95" t="str">
        <f t="shared" si="3"/>
        <v/>
      </c>
      <c r="Q44" s="173"/>
      <c r="R44"/>
      <c r="U44"/>
      <c r="V44"/>
      <c r="W44"/>
      <c r="X44"/>
      <c r="Y44"/>
      <c r="Z44"/>
      <c r="AA44"/>
      <c r="AB44"/>
    </row>
    <row r="45" spans="1:28" ht="35.25" customHeight="1" x14ac:dyDescent="0.2">
      <c r="B45" s="93"/>
      <c r="C45" s="97" t="s">
        <v>226</v>
      </c>
      <c r="D45" s="445" t="s">
        <v>275</v>
      </c>
      <c r="E45" s="568"/>
      <c r="F45" s="568"/>
      <c r="G45" s="568"/>
      <c r="H45" s="568"/>
      <c r="I45" s="568"/>
      <c r="J45" s="568"/>
      <c r="K45" s="568"/>
      <c r="L45" s="568"/>
      <c r="M45" s="568"/>
      <c r="N45" s="569"/>
      <c r="O45" s="71"/>
      <c r="P45" s="95" t="str">
        <f t="shared" si="3"/>
        <v/>
      </c>
      <c r="Q45" s="173"/>
      <c r="R45"/>
      <c r="U45"/>
      <c r="V45"/>
      <c r="W45"/>
      <c r="X45"/>
      <c r="Y45"/>
      <c r="Z45"/>
      <c r="AA45"/>
      <c r="AB45"/>
    </row>
    <row r="46" spans="1:28" ht="18" customHeight="1" x14ac:dyDescent="0.2">
      <c r="C46" s="97" t="s">
        <v>227</v>
      </c>
      <c r="D46" s="445" t="s">
        <v>276</v>
      </c>
      <c r="E46" s="570"/>
      <c r="F46" s="570"/>
      <c r="G46" s="570"/>
      <c r="H46" s="570"/>
      <c r="I46" s="570"/>
      <c r="J46" s="570"/>
      <c r="K46" s="570"/>
      <c r="L46" s="570"/>
      <c r="M46" s="570"/>
      <c r="N46" s="570"/>
      <c r="O46" s="71"/>
      <c r="P46" s="95" t="str">
        <f t="shared" si="3"/>
        <v/>
      </c>
      <c r="Q46" s="173"/>
      <c r="R46"/>
      <c r="U46"/>
      <c r="V46"/>
      <c r="W46"/>
      <c r="X46"/>
      <c r="Y46"/>
      <c r="Z46"/>
      <c r="AA46"/>
      <c r="AB46"/>
    </row>
    <row r="47" spans="1:28" ht="35.25" customHeight="1" x14ac:dyDescent="0.2">
      <c r="A47" s="106">
        <v>1</v>
      </c>
      <c r="C47" s="103" t="s">
        <v>228</v>
      </c>
      <c r="D47" s="445" t="s">
        <v>277</v>
      </c>
      <c r="E47" s="568"/>
      <c r="F47" s="568"/>
      <c r="G47" s="568"/>
      <c r="H47" s="568"/>
      <c r="I47" s="568"/>
      <c r="J47" s="568"/>
      <c r="K47" s="568"/>
      <c r="L47" s="568"/>
      <c r="M47" s="568"/>
      <c r="N47" s="569"/>
      <c r="O47" s="71"/>
      <c r="P47" s="95" t="str">
        <f t="shared" si="3"/>
        <v/>
      </c>
      <c r="R47"/>
      <c r="U47"/>
      <c r="V47"/>
      <c r="W47"/>
      <c r="X47"/>
      <c r="Y47"/>
      <c r="Z47"/>
      <c r="AA47"/>
      <c r="AB47"/>
    </row>
    <row r="48" spans="1:28" ht="57.75" customHeight="1" x14ac:dyDescent="0.2">
      <c r="A48" s="107" t="s">
        <v>69</v>
      </c>
      <c r="C48" s="97" t="s">
        <v>229</v>
      </c>
      <c r="D48" s="565" t="s">
        <v>539</v>
      </c>
      <c r="E48" s="566"/>
      <c r="F48" s="566"/>
      <c r="G48" s="566"/>
      <c r="H48" s="566"/>
      <c r="I48" s="566"/>
      <c r="J48" s="566"/>
      <c r="K48" s="566"/>
      <c r="L48" s="566"/>
      <c r="M48" s="566"/>
      <c r="N48" s="566"/>
      <c r="O48" s="71"/>
      <c r="P48" s="95" t="str">
        <f t="shared" si="3"/>
        <v/>
      </c>
      <c r="Q48" s="171"/>
      <c r="R48"/>
      <c r="U48"/>
      <c r="V48"/>
      <c r="W48"/>
      <c r="X48"/>
      <c r="Y48"/>
      <c r="Z48"/>
      <c r="AA48"/>
      <c r="AB48"/>
    </row>
    <row r="49" spans="1:28" ht="39" customHeight="1" x14ac:dyDescent="0.2">
      <c r="A49" s="106">
        <v>1</v>
      </c>
      <c r="B49" s="93"/>
      <c r="C49" s="97" t="s">
        <v>230</v>
      </c>
      <c r="D49" s="567" t="s">
        <v>540</v>
      </c>
      <c r="E49" s="470"/>
      <c r="F49" s="470"/>
      <c r="G49" s="470"/>
      <c r="H49" s="470"/>
      <c r="I49" s="470"/>
      <c r="J49" s="470"/>
      <c r="K49" s="470"/>
      <c r="L49" s="470"/>
      <c r="M49" s="470"/>
      <c r="N49" s="471"/>
      <c r="O49" s="71"/>
      <c r="P49" s="95" t="str">
        <f t="shared" si="3"/>
        <v/>
      </c>
      <c r="Q49" s="123"/>
      <c r="R49"/>
      <c r="U49"/>
      <c r="V49"/>
      <c r="W49"/>
      <c r="X49"/>
      <c r="Y49"/>
      <c r="Z49"/>
      <c r="AA49"/>
      <c r="AB49"/>
    </row>
    <row r="50" spans="1:28" ht="19.5" customHeight="1" x14ac:dyDescent="0.2">
      <c r="A50" s="107" t="s">
        <v>73</v>
      </c>
      <c r="C50" s="580" t="s">
        <v>278</v>
      </c>
      <c r="D50" s="470"/>
      <c r="E50" s="470"/>
      <c r="F50" s="470"/>
      <c r="G50" s="470"/>
      <c r="H50" s="470"/>
      <c r="I50" s="470"/>
      <c r="J50" s="470"/>
      <c r="K50" s="470"/>
      <c r="L50" s="470"/>
      <c r="M50" s="470"/>
      <c r="N50" s="470"/>
      <c r="O50" s="347"/>
      <c r="P50" s="344"/>
      <c r="Q50" s="99"/>
      <c r="R50"/>
      <c r="U50"/>
      <c r="V50"/>
      <c r="W50"/>
      <c r="X50"/>
      <c r="Y50"/>
      <c r="Z50"/>
      <c r="AA50"/>
      <c r="AB50"/>
    </row>
    <row r="51" spans="1:28" ht="25.5" customHeight="1" x14ac:dyDescent="0.2">
      <c r="A51" s="107" t="s">
        <v>69</v>
      </c>
      <c r="B51" s="93"/>
      <c r="C51" s="581" t="s">
        <v>17</v>
      </c>
      <c r="D51" s="470"/>
      <c r="E51" s="470"/>
      <c r="F51" s="470"/>
      <c r="G51" s="470"/>
      <c r="H51" s="470"/>
      <c r="I51" s="470"/>
      <c r="J51" s="470"/>
      <c r="K51" s="470"/>
      <c r="L51" s="470"/>
      <c r="M51" s="470"/>
      <c r="N51" s="470"/>
      <c r="O51" s="345"/>
      <c r="Q51" s="359"/>
      <c r="R51"/>
      <c r="U51"/>
      <c r="V51"/>
      <c r="W51"/>
      <c r="X51"/>
      <c r="Y51"/>
      <c r="Z51"/>
      <c r="AA51"/>
      <c r="AB51"/>
    </row>
    <row r="52" spans="1:28" ht="21.75" customHeight="1" x14ac:dyDescent="0.25">
      <c r="A52" s="106">
        <v>1</v>
      </c>
      <c r="B52" s="93"/>
      <c r="C52" s="100" t="s">
        <v>264</v>
      </c>
      <c r="D52" s="576" t="s">
        <v>74</v>
      </c>
      <c r="E52" s="577"/>
      <c r="F52" s="577"/>
      <c r="G52" s="577"/>
      <c r="H52" s="577"/>
      <c r="I52" s="577"/>
      <c r="J52" s="577"/>
      <c r="K52" s="577"/>
      <c r="L52" s="577"/>
      <c r="M52" s="577"/>
      <c r="N52" s="578"/>
      <c r="O52" s="101" t="s">
        <v>265</v>
      </c>
      <c r="P52" s="101" t="s">
        <v>266</v>
      </c>
      <c r="Q52" s="173"/>
      <c r="R52"/>
      <c r="U52"/>
      <c r="V52"/>
      <c r="W52"/>
      <c r="X52"/>
      <c r="Y52"/>
      <c r="Z52"/>
      <c r="AA52"/>
      <c r="AB52"/>
    </row>
    <row r="53" spans="1:28" ht="34.5" customHeight="1" x14ac:dyDescent="0.2">
      <c r="A53" s="106">
        <v>1</v>
      </c>
      <c r="C53" s="94" t="s">
        <v>232</v>
      </c>
      <c r="D53" s="601" t="s">
        <v>279</v>
      </c>
      <c r="E53" s="595"/>
      <c r="F53" s="595"/>
      <c r="G53" s="595"/>
      <c r="H53" s="595"/>
      <c r="I53" s="595"/>
      <c r="J53" s="595"/>
      <c r="K53" s="595"/>
      <c r="L53" s="595"/>
      <c r="M53" s="595"/>
      <c r="N53" s="595"/>
      <c r="O53" s="71"/>
      <c r="P53" s="95" t="str">
        <f t="shared" ref="P53:P60" si="4">IF(O53="","",IF(O53="Yes","Pass",IF(O53="No","Fail","N/A")))</f>
        <v/>
      </c>
      <c r="Q53" s="173"/>
      <c r="R53"/>
      <c r="U53"/>
      <c r="V53"/>
      <c r="W53"/>
      <c r="X53"/>
      <c r="Y53"/>
      <c r="Z53"/>
      <c r="AA53"/>
      <c r="AB53"/>
    </row>
    <row r="54" spans="1:28" ht="60.75" customHeight="1" x14ac:dyDescent="0.2">
      <c r="A54" s="106">
        <v>1</v>
      </c>
      <c r="C54" s="94" t="s">
        <v>233</v>
      </c>
      <c r="D54" s="601" t="s">
        <v>457</v>
      </c>
      <c r="E54" s="605"/>
      <c r="F54" s="605"/>
      <c r="G54" s="605"/>
      <c r="H54" s="605"/>
      <c r="I54" s="605"/>
      <c r="J54" s="605"/>
      <c r="K54" s="605"/>
      <c r="L54" s="605"/>
      <c r="M54" s="605"/>
      <c r="N54" s="606"/>
      <c r="O54" s="71"/>
      <c r="P54" s="95" t="str">
        <f t="shared" si="4"/>
        <v/>
      </c>
      <c r="Q54" s="173"/>
      <c r="R54"/>
      <c r="U54"/>
      <c r="V54"/>
      <c r="W54"/>
      <c r="X54"/>
      <c r="Y54"/>
      <c r="Z54"/>
      <c r="AA54"/>
      <c r="AB54"/>
    </row>
    <row r="55" spans="1:28" ht="38.25" customHeight="1" x14ac:dyDescent="0.2">
      <c r="A55" s="106">
        <v>1</v>
      </c>
      <c r="B55" s="107" t="s">
        <v>70</v>
      </c>
      <c r="C55" s="94" t="s">
        <v>458</v>
      </c>
      <c r="D55" s="602" t="s">
        <v>454</v>
      </c>
      <c r="E55" s="603"/>
      <c r="F55" s="603"/>
      <c r="G55" s="603"/>
      <c r="H55" s="603"/>
      <c r="I55" s="603"/>
      <c r="J55" s="603"/>
      <c r="K55" s="603"/>
      <c r="L55" s="603"/>
      <c r="M55" s="603"/>
      <c r="N55" s="604"/>
      <c r="O55" s="71"/>
      <c r="P55" s="95" t="str">
        <f t="shared" si="4"/>
        <v/>
      </c>
      <c r="Q55" s="173"/>
      <c r="R55"/>
      <c r="U55"/>
      <c r="V55"/>
      <c r="W55"/>
      <c r="X55"/>
      <c r="Y55"/>
      <c r="Z55"/>
      <c r="AA55"/>
      <c r="AB55"/>
    </row>
    <row r="56" spans="1:28" ht="68.25" customHeight="1" x14ac:dyDescent="0.2">
      <c r="A56" s="107" t="s">
        <v>73</v>
      </c>
      <c r="C56" s="94" t="s">
        <v>234</v>
      </c>
      <c r="D56" s="594" t="s">
        <v>541</v>
      </c>
      <c r="E56" s="595"/>
      <c r="F56" s="595"/>
      <c r="G56" s="595"/>
      <c r="H56" s="595"/>
      <c r="I56" s="595"/>
      <c r="J56" s="595"/>
      <c r="K56" s="595"/>
      <c r="L56" s="595"/>
      <c r="M56" s="595"/>
      <c r="N56" s="596"/>
      <c r="O56" s="71"/>
      <c r="P56" s="95" t="str">
        <f t="shared" si="4"/>
        <v/>
      </c>
      <c r="Q56" s="173"/>
      <c r="R56"/>
      <c r="U56"/>
      <c r="V56"/>
      <c r="W56"/>
      <c r="X56"/>
      <c r="Y56"/>
      <c r="Z56"/>
      <c r="AA56"/>
      <c r="AB56"/>
    </row>
    <row r="57" spans="1:28" ht="31.5" customHeight="1" x14ac:dyDescent="0.2">
      <c r="B57" s="93"/>
      <c r="C57" s="94" t="s">
        <v>235</v>
      </c>
      <c r="D57" s="602" t="s">
        <v>459</v>
      </c>
      <c r="E57" s="603"/>
      <c r="F57" s="603"/>
      <c r="G57" s="603"/>
      <c r="H57" s="603"/>
      <c r="I57" s="603"/>
      <c r="J57" s="603"/>
      <c r="K57" s="603"/>
      <c r="L57" s="603"/>
      <c r="M57" s="603"/>
      <c r="N57" s="604"/>
      <c r="O57" s="71"/>
      <c r="P57" s="95" t="str">
        <f t="shared" si="4"/>
        <v/>
      </c>
      <c r="Q57" s="173"/>
      <c r="R57"/>
      <c r="U57"/>
      <c r="V57"/>
      <c r="W57"/>
      <c r="X57"/>
      <c r="Y57"/>
      <c r="Z57"/>
      <c r="AA57"/>
      <c r="AB57"/>
    </row>
    <row r="58" spans="1:28" ht="40.5" customHeight="1" x14ac:dyDescent="0.2">
      <c r="C58" s="104" t="s">
        <v>460</v>
      </c>
      <c r="D58" s="597" t="s">
        <v>455</v>
      </c>
      <c r="E58" s="595"/>
      <c r="F58" s="595"/>
      <c r="G58" s="595"/>
      <c r="H58" s="595"/>
      <c r="I58" s="595"/>
      <c r="J58" s="595"/>
      <c r="K58" s="595"/>
      <c r="L58" s="595"/>
      <c r="M58" s="595"/>
      <c r="N58" s="596"/>
      <c r="O58" s="71"/>
      <c r="P58" s="95" t="str">
        <f t="shared" si="4"/>
        <v/>
      </c>
      <c r="Q58" s="173"/>
      <c r="R58"/>
      <c r="U58"/>
      <c r="V58"/>
      <c r="W58"/>
      <c r="X58"/>
      <c r="Y58"/>
      <c r="Z58"/>
      <c r="AA58"/>
      <c r="AB58"/>
    </row>
    <row r="59" spans="1:28" ht="30" customHeight="1" x14ac:dyDescent="0.2">
      <c r="A59" s="107" t="s">
        <v>70</v>
      </c>
      <c r="C59" s="104" t="s">
        <v>236</v>
      </c>
      <c r="D59" s="598" t="s">
        <v>456</v>
      </c>
      <c r="E59" s="599"/>
      <c r="F59" s="599"/>
      <c r="G59" s="599"/>
      <c r="H59" s="599"/>
      <c r="I59" s="599"/>
      <c r="J59" s="599"/>
      <c r="K59" s="599"/>
      <c r="L59" s="599"/>
      <c r="M59" s="599"/>
      <c r="N59" s="600"/>
      <c r="O59" s="71"/>
      <c r="P59" s="95" t="str">
        <f t="shared" si="4"/>
        <v/>
      </c>
      <c r="Q59" s="173"/>
      <c r="R59"/>
      <c r="U59"/>
      <c r="V59"/>
      <c r="W59"/>
      <c r="X59"/>
      <c r="Y59"/>
      <c r="Z59"/>
      <c r="AA59"/>
      <c r="AB59"/>
    </row>
    <row r="60" spans="1:28" ht="30" customHeight="1" x14ac:dyDescent="0.2">
      <c r="A60" s="107" t="s">
        <v>70</v>
      </c>
      <c r="B60" s="93"/>
      <c r="C60" s="104" t="s">
        <v>237</v>
      </c>
      <c r="D60" s="598" t="s">
        <v>280</v>
      </c>
      <c r="E60" s="599"/>
      <c r="F60" s="599"/>
      <c r="G60" s="599"/>
      <c r="H60" s="599"/>
      <c r="I60" s="599"/>
      <c r="J60" s="599"/>
      <c r="K60" s="599"/>
      <c r="L60" s="599"/>
      <c r="M60" s="599"/>
      <c r="N60" s="600"/>
      <c r="O60" s="71"/>
      <c r="P60" s="95" t="str">
        <f t="shared" si="4"/>
        <v/>
      </c>
      <c r="Q60" s="171"/>
      <c r="R60"/>
      <c r="U60"/>
      <c r="V60"/>
      <c r="W60"/>
      <c r="X60"/>
      <c r="Y60"/>
      <c r="Z60"/>
      <c r="AA60"/>
      <c r="AB60"/>
    </row>
    <row r="61" spans="1:28" ht="22.5" customHeight="1" x14ac:dyDescent="0.2">
      <c r="A61" s="107" t="s">
        <v>69</v>
      </c>
      <c r="B61" s="107" t="s">
        <v>69</v>
      </c>
      <c r="C61" s="580" t="s">
        <v>281</v>
      </c>
      <c r="D61" s="470"/>
      <c r="E61" s="470"/>
      <c r="F61" s="470"/>
      <c r="G61" s="470"/>
      <c r="H61" s="470"/>
      <c r="I61" s="470"/>
      <c r="J61" s="470"/>
      <c r="K61" s="470"/>
      <c r="L61" s="470"/>
      <c r="M61" s="470"/>
      <c r="N61" s="470"/>
      <c r="O61" s="347"/>
      <c r="P61" s="345"/>
      <c r="Q61" s="172"/>
      <c r="R61"/>
      <c r="U61"/>
      <c r="V61"/>
      <c r="W61"/>
      <c r="X61"/>
      <c r="Y61"/>
      <c r="Z61"/>
      <c r="AA61"/>
      <c r="AB61"/>
    </row>
    <row r="62" spans="1:28" ht="28.5" customHeight="1" x14ac:dyDescent="0.2">
      <c r="A62" s="107"/>
      <c r="B62" s="147"/>
      <c r="C62" s="581" t="s">
        <v>17</v>
      </c>
      <c r="D62" s="470"/>
      <c r="E62" s="470"/>
      <c r="F62" s="470"/>
      <c r="G62" s="470"/>
      <c r="H62" s="470"/>
      <c r="I62" s="470"/>
      <c r="J62" s="470"/>
      <c r="K62" s="470"/>
      <c r="L62" s="470"/>
      <c r="M62" s="470"/>
      <c r="N62" s="470"/>
      <c r="O62" s="345"/>
      <c r="Q62" s="171"/>
      <c r="R62"/>
      <c r="U62"/>
      <c r="V62"/>
      <c r="W62"/>
      <c r="X62"/>
      <c r="Y62"/>
      <c r="Z62"/>
      <c r="AA62"/>
      <c r="AB62"/>
    </row>
    <row r="63" spans="1:28" ht="30" customHeight="1" x14ac:dyDescent="0.25">
      <c r="A63" s="107" t="s">
        <v>70</v>
      </c>
      <c r="B63" s="93"/>
      <c r="C63" s="100" t="s">
        <v>264</v>
      </c>
      <c r="D63" s="573" t="s">
        <v>75</v>
      </c>
      <c r="E63" s="574"/>
      <c r="F63" s="574"/>
      <c r="G63" s="574"/>
      <c r="H63" s="574"/>
      <c r="I63" s="574"/>
      <c r="J63" s="574"/>
      <c r="K63" s="574"/>
      <c r="L63" s="574"/>
      <c r="M63" s="574"/>
      <c r="N63" s="440"/>
      <c r="O63" s="101" t="s">
        <v>265</v>
      </c>
      <c r="P63" s="101" t="s">
        <v>266</v>
      </c>
      <c r="Q63" s="359"/>
      <c r="R63"/>
      <c r="U63"/>
      <c r="V63"/>
      <c r="W63"/>
      <c r="X63"/>
      <c r="Y63"/>
      <c r="Z63"/>
      <c r="AA63"/>
      <c r="AB63"/>
    </row>
    <row r="64" spans="1:28" ht="30" customHeight="1" x14ac:dyDescent="0.2">
      <c r="A64" s="107" t="s">
        <v>70</v>
      </c>
      <c r="B64" s="93"/>
      <c r="C64" s="94" t="s">
        <v>239</v>
      </c>
      <c r="D64" s="567" t="s">
        <v>461</v>
      </c>
      <c r="E64" s="470"/>
      <c r="F64" s="470"/>
      <c r="G64" s="470"/>
      <c r="H64" s="470"/>
      <c r="I64" s="470"/>
      <c r="J64" s="470"/>
      <c r="K64" s="470"/>
      <c r="L64" s="470"/>
      <c r="M64" s="470"/>
      <c r="N64" s="471"/>
      <c r="O64" s="71"/>
      <c r="P64" s="95" t="str">
        <f t="shared" ref="P64:P69" si="5">IF(O64="","",IF(O64="Yes","Pass",IF(O64="No","Fail","N/A")))</f>
        <v/>
      </c>
      <c r="Q64" s="173"/>
      <c r="R64"/>
      <c r="U64"/>
      <c r="V64"/>
      <c r="W64"/>
      <c r="X64"/>
      <c r="Y64"/>
      <c r="Z64"/>
      <c r="AA64"/>
      <c r="AB64"/>
    </row>
    <row r="65" spans="1:28" ht="33.75" customHeight="1" x14ac:dyDescent="0.2">
      <c r="A65" s="107" t="s">
        <v>76</v>
      </c>
      <c r="B65" s="93"/>
      <c r="C65" s="94" t="s">
        <v>240</v>
      </c>
      <c r="D65" s="567" t="s">
        <v>282</v>
      </c>
      <c r="E65" s="470"/>
      <c r="F65" s="470"/>
      <c r="G65" s="470"/>
      <c r="H65" s="470"/>
      <c r="I65" s="470"/>
      <c r="J65" s="470"/>
      <c r="K65" s="470"/>
      <c r="L65" s="470"/>
      <c r="M65" s="470"/>
      <c r="N65" s="471"/>
      <c r="O65" s="71"/>
      <c r="P65" s="95" t="str">
        <f t="shared" si="5"/>
        <v/>
      </c>
      <c r="Q65" s="173"/>
      <c r="R65"/>
      <c r="U65"/>
      <c r="V65"/>
      <c r="W65"/>
      <c r="X65"/>
      <c r="Y65"/>
      <c r="Z65"/>
      <c r="AA65"/>
      <c r="AB65"/>
    </row>
    <row r="66" spans="1:28" ht="49.5" customHeight="1" x14ac:dyDescent="0.2">
      <c r="A66" s="106">
        <v>1</v>
      </c>
      <c r="B66" s="93"/>
      <c r="C66" s="94" t="s">
        <v>241</v>
      </c>
      <c r="D66" s="567" t="s">
        <v>462</v>
      </c>
      <c r="E66" s="470"/>
      <c r="F66" s="470"/>
      <c r="G66" s="470"/>
      <c r="H66" s="470"/>
      <c r="I66" s="470"/>
      <c r="J66" s="470"/>
      <c r="K66" s="470"/>
      <c r="L66" s="470"/>
      <c r="M66" s="470"/>
      <c r="N66" s="471"/>
      <c r="O66" s="71"/>
      <c r="P66" s="95" t="str">
        <f t="shared" si="5"/>
        <v/>
      </c>
      <c r="Q66" s="173"/>
      <c r="R66"/>
      <c r="U66"/>
      <c r="V66"/>
      <c r="W66"/>
      <c r="X66"/>
      <c r="Y66"/>
      <c r="Z66"/>
      <c r="AA66"/>
      <c r="AB66"/>
    </row>
    <row r="67" spans="1:28" ht="35.25" customHeight="1" x14ac:dyDescent="0.2">
      <c r="A67" s="107" t="s">
        <v>73</v>
      </c>
      <c r="C67" s="148" t="s">
        <v>542</v>
      </c>
      <c r="D67" s="593" t="s">
        <v>464</v>
      </c>
      <c r="E67" s="470"/>
      <c r="F67" s="470"/>
      <c r="G67" s="470"/>
      <c r="H67" s="470"/>
      <c r="I67" s="470"/>
      <c r="J67" s="470"/>
      <c r="K67" s="470"/>
      <c r="L67" s="470"/>
      <c r="M67" s="470"/>
      <c r="N67" s="470"/>
      <c r="O67" s="71"/>
      <c r="P67" s="95" t="str">
        <f t="shared" si="5"/>
        <v/>
      </c>
      <c r="Q67" s="173"/>
      <c r="R67"/>
      <c r="U67"/>
      <c r="V67"/>
      <c r="W67"/>
      <c r="X67"/>
      <c r="Y67"/>
      <c r="Z67"/>
      <c r="AA67"/>
      <c r="AB67"/>
    </row>
    <row r="68" spans="1:28" ht="36" customHeight="1" x14ac:dyDescent="0.2">
      <c r="B68" s="93"/>
      <c r="C68" s="94" t="s">
        <v>242</v>
      </c>
      <c r="D68" s="469" t="s">
        <v>546</v>
      </c>
      <c r="E68" s="470"/>
      <c r="F68" s="470"/>
      <c r="G68" s="470"/>
      <c r="H68" s="470"/>
      <c r="I68" s="470"/>
      <c r="J68" s="470"/>
      <c r="K68" s="470"/>
      <c r="L68" s="470"/>
      <c r="M68" s="470"/>
      <c r="N68" s="471"/>
      <c r="O68" s="71"/>
      <c r="P68" s="95" t="str">
        <f t="shared" si="5"/>
        <v/>
      </c>
      <c r="Q68" s="173"/>
      <c r="R68"/>
      <c r="U68"/>
      <c r="V68"/>
      <c r="W68"/>
      <c r="X68"/>
      <c r="Y68"/>
      <c r="Z68"/>
      <c r="AA68"/>
      <c r="AB68"/>
    </row>
    <row r="69" spans="1:28" ht="52.5" customHeight="1" x14ac:dyDescent="0.2">
      <c r="C69" s="94" t="s">
        <v>243</v>
      </c>
      <c r="D69" s="469" t="s">
        <v>547</v>
      </c>
      <c r="E69" s="470"/>
      <c r="F69" s="470"/>
      <c r="G69" s="470"/>
      <c r="H69" s="470"/>
      <c r="I69" s="470"/>
      <c r="J69" s="470"/>
      <c r="K69" s="470"/>
      <c r="L69" s="470"/>
      <c r="M69" s="470"/>
      <c r="N69" s="471"/>
      <c r="O69" s="71"/>
      <c r="P69" s="95" t="str">
        <f t="shared" si="5"/>
        <v/>
      </c>
      <c r="Q69" s="173"/>
      <c r="R69"/>
      <c r="U69"/>
      <c r="V69"/>
      <c r="W69"/>
      <c r="X69"/>
      <c r="Y69"/>
      <c r="Z69"/>
      <c r="AA69"/>
      <c r="AB69"/>
    </row>
    <row r="70" spans="1:28" ht="21" customHeight="1" x14ac:dyDescent="0.25">
      <c r="A70" s="107" t="s">
        <v>70</v>
      </c>
      <c r="C70" s="608" t="s">
        <v>283</v>
      </c>
      <c r="D70" s="486"/>
      <c r="E70" s="486"/>
      <c r="F70" s="486"/>
      <c r="G70" s="486"/>
      <c r="H70" s="486"/>
      <c r="I70" s="486"/>
      <c r="J70" s="486"/>
      <c r="K70" s="486"/>
      <c r="L70" s="486"/>
      <c r="M70" s="486"/>
      <c r="N70" s="486"/>
      <c r="O70" s="348"/>
      <c r="P70" s="342"/>
      <c r="Q70" s="173"/>
      <c r="R70"/>
      <c r="U70"/>
      <c r="V70"/>
      <c r="W70"/>
      <c r="X70"/>
      <c r="Y70"/>
      <c r="Z70"/>
      <c r="AA70"/>
      <c r="AB70"/>
    </row>
    <row r="71" spans="1:28" ht="29.25" customHeight="1" x14ac:dyDescent="0.25">
      <c r="A71" s="107" t="s">
        <v>285</v>
      </c>
      <c r="B71" s="93"/>
      <c r="C71" s="581" t="s">
        <v>17</v>
      </c>
      <c r="D71" s="470"/>
      <c r="E71" s="470"/>
      <c r="F71" s="470"/>
      <c r="G71" s="470"/>
      <c r="H71" s="470"/>
      <c r="I71" s="470"/>
      <c r="J71" s="470"/>
      <c r="K71" s="470"/>
      <c r="L71" s="470"/>
      <c r="M71" s="470"/>
      <c r="N71" s="470"/>
      <c r="O71" s="345"/>
      <c r="Q71" s="352"/>
      <c r="R71"/>
      <c r="U71"/>
      <c r="V71"/>
      <c r="W71"/>
      <c r="X71"/>
      <c r="Y71"/>
      <c r="Z71"/>
      <c r="AA71"/>
      <c r="AB71"/>
    </row>
    <row r="72" spans="1:28" ht="21.75" customHeight="1" x14ac:dyDescent="0.25">
      <c r="A72" s="107" t="s">
        <v>76</v>
      </c>
      <c r="B72" s="107" t="s">
        <v>286</v>
      </c>
      <c r="C72" s="100" t="s">
        <v>264</v>
      </c>
      <c r="D72" s="573" t="s">
        <v>77</v>
      </c>
      <c r="E72" s="574"/>
      <c r="F72" s="574"/>
      <c r="G72" s="574"/>
      <c r="H72" s="574"/>
      <c r="I72" s="574"/>
      <c r="J72" s="574"/>
      <c r="K72" s="574"/>
      <c r="L72" s="574"/>
      <c r="M72" s="574"/>
      <c r="N72" s="574"/>
      <c r="O72" s="101" t="s">
        <v>265</v>
      </c>
      <c r="P72" s="101" t="s">
        <v>266</v>
      </c>
      <c r="Q72" s="172"/>
      <c r="R72"/>
      <c r="U72"/>
      <c r="V72"/>
      <c r="W72"/>
      <c r="X72"/>
      <c r="Y72"/>
      <c r="Z72"/>
      <c r="AA72"/>
      <c r="AB72"/>
    </row>
    <row r="73" spans="1:28" ht="36" customHeight="1" x14ac:dyDescent="0.2">
      <c r="A73" s="107" t="s">
        <v>287</v>
      </c>
      <c r="B73" s="107" t="s">
        <v>80</v>
      </c>
      <c r="C73" s="102" t="s">
        <v>245</v>
      </c>
      <c r="D73" s="607" t="s">
        <v>284</v>
      </c>
      <c r="E73" s="470"/>
      <c r="F73" s="470"/>
      <c r="G73" s="470"/>
      <c r="H73" s="470"/>
      <c r="I73" s="470"/>
      <c r="J73" s="470"/>
      <c r="K73" s="470"/>
      <c r="L73" s="470"/>
      <c r="M73" s="470"/>
      <c r="N73" s="470"/>
      <c r="O73" s="71"/>
      <c r="P73" s="95" t="str">
        <f>IF(O73="","",IF(O73="Yes","Fail",IF(O73="No","Pass","N/A")))</f>
        <v/>
      </c>
      <c r="R73"/>
      <c r="U73"/>
      <c r="V73"/>
      <c r="W73"/>
      <c r="X73"/>
      <c r="Y73"/>
      <c r="Z73"/>
      <c r="AA73"/>
      <c r="AB73"/>
    </row>
    <row r="74" spans="1:28" ht="189" customHeight="1" x14ac:dyDescent="0.2">
      <c r="A74" s="107" t="s">
        <v>288</v>
      </c>
      <c r="B74" s="93"/>
      <c r="C74" s="102" t="s">
        <v>246</v>
      </c>
      <c r="D74" s="609" t="s">
        <v>552</v>
      </c>
      <c r="E74" s="470"/>
      <c r="F74" s="470"/>
      <c r="G74" s="470"/>
      <c r="H74" s="470"/>
      <c r="I74" s="470"/>
      <c r="J74" s="470"/>
      <c r="K74" s="470"/>
      <c r="L74" s="470"/>
      <c r="M74" s="470"/>
      <c r="N74" s="470"/>
      <c r="O74" s="71"/>
      <c r="P74" s="95" t="str">
        <f>IF(O74="","",IF(O74="Yes","Fail",IF(O74="No","Pass","N/A")))</f>
        <v/>
      </c>
      <c r="Q74" s="359"/>
      <c r="R74"/>
      <c r="U74"/>
      <c r="V74"/>
      <c r="W74"/>
      <c r="X74"/>
      <c r="Y74"/>
      <c r="Z74"/>
      <c r="AA74"/>
      <c r="AB74"/>
    </row>
    <row r="75" spans="1:28" ht="94.5" customHeight="1" x14ac:dyDescent="0.2">
      <c r="A75" s="107" t="s">
        <v>81</v>
      </c>
      <c r="B75" s="93"/>
      <c r="C75" s="102" t="s">
        <v>247</v>
      </c>
      <c r="D75" s="609" t="s">
        <v>551</v>
      </c>
      <c r="E75" s="470"/>
      <c r="F75" s="470"/>
      <c r="G75" s="470"/>
      <c r="H75" s="470"/>
      <c r="I75" s="470"/>
      <c r="J75" s="470"/>
      <c r="K75" s="470"/>
      <c r="L75" s="470"/>
      <c r="M75" s="470"/>
      <c r="N75" s="470"/>
      <c r="O75" s="71"/>
      <c r="P75" s="95" t="str">
        <f t="shared" ref="P75:P82" si="6">IF(O75="","",IF(O75="Yes","Pass",IF(O75="No","Fail","N/A")))</f>
        <v/>
      </c>
      <c r="Q75" s="173"/>
      <c r="R75"/>
      <c r="U75"/>
      <c r="V75"/>
      <c r="W75"/>
      <c r="X75"/>
      <c r="Y75"/>
      <c r="Z75"/>
      <c r="AA75"/>
      <c r="AB75"/>
    </row>
    <row r="76" spans="1:28" ht="126" customHeight="1" x14ac:dyDescent="0.2">
      <c r="A76" s="107" t="s">
        <v>69</v>
      </c>
      <c r="B76" s="93"/>
      <c r="C76" s="102" t="s">
        <v>248</v>
      </c>
      <c r="D76" s="579" t="s">
        <v>550</v>
      </c>
      <c r="E76" s="572"/>
      <c r="F76" s="572"/>
      <c r="G76" s="572"/>
      <c r="H76" s="572"/>
      <c r="I76" s="572"/>
      <c r="J76" s="572"/>
      <c r="K76" s="572"/>
      <c r="L76" s="572"/>
      <c r="M76" s="572"/>
      <c r="N76" s="572"/>
      <c r="O76" s="71"/>
      <c r="P76" s="95" t="str">
        <f t="shared" si="6"/>
        <v/>
      </c>
      <c r="Q76" s="173"/>
      <c r="R76"/>
      <c r="U76"/>
      <c r="V76"/>
      <c r="W76"/>
      <c r="X76"/>
      <c r="Y76"/>
      <c r="Z76"/>
      <c r="AA76"/>
      <c r="AB76"/>
    </row>
    <row r="77" spans="1:28" ht="78" customHeight="1" x14ac:dyDescent="0.2">
      <c r="A77" s="107" t="s">
        <v>288</v>
      </c>
      <c r="B77" s="93"/>
      <c r="C77" s="102" t="s">
        <v>249</v>
      </c>
      <c r="D77" s="579" t="s">
        <v>289</v>
      </c>
      <c r="E77" s="572"/>
      <c r="F77" s="572"/>
      <c r="G77" s="572"/>
      <c r="H77" s="572"/>
      <c r="I77" s="572"/>
      <c r="J77" s="572"/>
      <c r="K77" s="572"/>
      <c r="L77" s="572"/>
      <c r="M77" s="572"/>
      <c r="N77" s="582"/>
      <c r="O77" s="71"/>
      <c r="P77" s="95" t="str">
        <f t="shared" si="6"/>
        <v/>
      </c>
      <c r="Q77" s="173"/>
      <c r="R77"/>
      <c r="U77"/>
      <c r="V77"/>
      <c r="W77"/>
      <c r="X77"/>
      <c r="Y77"/>
      <c r="Z77"/>
      <c r="AA77"/>
      <c r="AB77"/>
    </row>
    <row r="78" spans="1:28" ht="108.75" customHeight="1" x14ac:dyDescent="0.2">
      <c r="A78" s="107" t="s">
        <v>73</v>
      </c>
      <c r="B78" s="93"/>
      <c r="C78" s="102" t="s">
        <v>250</v>
      </c>
      <c r="D78" s="579" t="s">
        <v>543</v>
      </c>
      <c r="E78" s="572"/>
      <c r="F78" s="572"/>
      <c r="G78" s="572"/>
      <c r="H78" s="572"/>
      <c r="I78" s="572"/>
      <c r="J78" s="572"/>
      <c r="K78" s="572"/>
      <c r="L78" s="572"/>
      <c r="M78" s="572"/>
      <c r="N78" s="582"/>
      <c r="O78" s="71"/>
      <c r="P78" s="95" t="str">
        <f t="shared" si="6"/>
        <v/>
      </c>
      <c r="Q78" s="173"/>
      <c r="R78"/>
      <c r="U78"/>
      <c r="V78"/>
      <c r="W78"/>
      <c r="X78"/>
      <c r="Y78"/>
      <c r="Z78"/>
      <c r="AA78"/>
      <c r="AB78"/>
    </row>
    <row r="79" spans="1:28" ht="36" customHeight="1" x14ac:dyDescent="0.2">
      <c r="A79" s="107" t="s">
        <v>81</v>
      </c>
      <c r="B79" s="93"/>
      <c r="C79" s="102" t="s">
        <v>251</v>
      </c>
      <c r="D79" s="567" t="s">
        <v>290</v>
      </c>
      <c r="E79" s="572"/>
      <c r="F79" s="572"/>
      <c r="G79" s="572"/>
      <c r="H79" s="572"/>
      <c r="I79" s="572"/>
      <c r="J79" s="572"/>
      <c r="K79" s="572"/>
      <c r="L79" s="572"/>
      <c r="M79" s="572"/>
      <c r="N79" s="582"/>
      <c r="O79" s="71"/>
      <c r="P79" s="95" t="str">
        <f t="shared" si="6"/>
        <v/>
      </c>
      <c r="Q79" s="173"/>
      <c r="R79"/>
      <c r="U79"/>
      <c r="V79"/>
      <c r="W79"/>
      <c r="X79"/>
      <c r="Y79"/>
      <c r="Z79"/>
      <c r="AA79"/>
      <c r="AB79"/>
    </row>
    <row r="80" spans="1:28" ht="91.5" customHeight="1" x14ac:dyDescent="0.2">
      <c r="A80" s="107" t="s">
        <v>81</v>
      </c>
      <c r="B80" s="93"/>
      <c r="C80" s="102" t="s">
        <v>252</v>
      </c>
      <c r="D80" s="579" t="s">
        <v>549</v>
      </c>
      <c r="E80" s="572"/>
      <c r="F80" s="572"/>
      <c r="G80" s="572"/>
      <c r="H80" s="572"/>
      <c r="I80" s="572"/>
      <c r="J80" s="572"/>
      <c r="K80" s="572"/>
      <c r="L80" s="572"/>
      <c r="M80" s="572"/>
      <c r="N80" s="582"/>
      <c r="O80" s="71"/>
      <c r="P80" s="95" t="str">
        <f t="shared" si="6"/>
        <v/>
      </c>
      <c r="Q80" s="173"/>
      <c r="R80"/>
      <c r="U80"/>
      <c r="V80"/>
      <c r="W80"/>
      <c r="X80"/>
      <c r="Y80"/>
      <c r="Z80"/>
      <c r="AA80"/>
      <c r="AB80"/>
    </row>
    <row r="81" spans="1:18" ht="61.5" customHeight="1" x14ac:dyDescent="0.2">
      <c r="A81" s="107" t="s">
        <v>288</v>
      </c>
      <c r="B81" s="93"/>
      <c r="C81" s="102" t="s">
        <v>253</v>
      </c>
      <c r="D81" s="579" t="s">
        <v>291</v>
      </c>
      <c r="E81" s="572"/>
      <c r="F81" s="572"/>
      <c r="G81" s="572"/>
      <c r="H81" s="572"/>
      <c r="I81" s="572"/>
      <c r="J81" s="572"/>
      <c r="K81" s="572"/>
      <c r="L81" s="572"/>
      <c r="M81" s="572"/>
      <c r="N81" s="582"/>
      <c r="O81" s="71"/>
      <c r="P81" s="95" t="str">
        <f t="shared" si="6"/>
        <v/>
      </c>
      <c r="Q81"/>
      <c r="R81"/>
    </row>
    <row r="82" spans="1:18" ht="78.75" customHeight="1" x14ac:dyDescent="0.2">
      <c r="A82" s="106">
        <v>1</v>
      </c>
      <c r="B82" s="93"/>
      <c r="C82" s="102" t="s">
        <v>254</v>
      </c>
      <c r="D82" s="609" t="s">
        <v>548</v>
      </c>
      <c r="E82" s="470"/>
      <c r="F82" s="470"/>
      <c r="G82" s="470"/>
      <c r="H82" s="470"/>
      <c r="I82" s="470"/>
      <c r="J82" s="470"/>
      <c r="K82" s="470"/>
      <c r="L82" s="470"/>
      <c r="M82" s="470"/>
      <c r="N82" s="471"/>
      <c r="O82" s="71"/>
      <c r="P82" s="95" t="str">
        <f t="shared" si="6"/>
        <v/>
      </c>
      <c r="Q82"/>
      <c r="R82"/>
    </row>
    <row r="83" spans="1:18" ht="20.25" customHeight="1" x14ac:dyDescent="0.2">
      <c r="A83" s="107" t="s">
        <v>73</v>
      </c>
      <c r="C83" s="469" t="s">
        <v>292</v>
      </c>
      <c r="D83" s="470"/>
      <c r="E83" s="470"/>
      <c r="F83" s="470"/>
      <c r="G83" s="470"/>
      <c r="H83" s="470"/>
      <c r="I83" s="470"/>
      <c r="J83" s="470"/>
      <c r="K83" s="470"/>
      <c r="L83" s="470"/>
      <c r="M83" s="470"/>
      <c r="N83" s="470"/>
      <c r="O83" s="346"/>
      <c r="P83" s="95"/>
      <c r="Q83"/>
      <c r="R83"/>
    </row>
    <row r="84" spans="1:18" ht="21" customHeight="1" x14ac:dyDescent="0.2">
      <c r="B84" s="93"/>
      <c r="C84" s="581" t="s">
        <v>17</v>
      </c>
      <c r="D84" s="470"/>
      <c r="E84" s="470"/>
      <c r="F84" s="470"/>
      <c r="G84" s="470"/>
      <c r="H84" s="470"/>
      <c r="I84" s="470"/>
      <c r="J84" s="470"/>
      <c r="K84" s="470"/>
      <c r="L84" s="470"/>
      <c r="M84" s="470"/>
      <c r="N84" s="470"/>
      <c r="O84" s="345"/>
      <c r="P84" s="346"/>
      <c r="Q84"/>
      <c r="R84"/>
    </row>
    <row r="85" spans="1:18" ht="18" x14ac:dyDescent="0.2">
      <c r="P85" s="345"/>
      <c r="Q85" s="173"/>
      <c r="R85" s="173"/>
    </row>
    <row r="86" spans="1:18" ht="18" x14ac:dyDescent="0.2">
      <c r="P86" s="105"/>
      <c r="Q86" s="173"/>
      <c r="R86" s="173"/>
    </row>
    <row r="87" spans="1:18" x14ac:dyDescent="0.2">
      <c r="P87" s="105"/>
      <c r="Q87" s="105"/>
      <c r="R87" s="105"/>
    </row>
    <row r="88" spans="1:18" x14ac:dyDescent="0.2">
      <c r="Q88" s="105"/>
      <c r="R88" s="105"/>
    </row>
    <row r="89" spans="1:18" x14ac:dyDescent="0.2">
      <c r="Q89" s="105"/>
      <c r="R89" s="105"/>
    </row>
    <row r="90" spans="1:18" x14ac:dyDescent="0.2">
      <c r="Q90" s="105"/>
      <c r="R90" s="105"/>
    </row>
  </sheetData>
  <sheetProtection algorithmName="SHA-512" hashValue="K5wJ/7GZ1PThbw61mGTj30Fp3xhjs35Y5Ky70lbg+pwRZcKlulhcfc9lVACEf8pTmx04k6Pl3IU3EDY57sSlTg==" saltValue="I465SMQirUcpS3E19eSuCw==" spinCount="100000" sheet="1" objects="1" scenarios="1"/>
  <mergeCells count="83">
    <mergeCell ref="D82:N82"/>
    <mergeCell ref="C83:N83"/>
    <mergeCell ref="C84:N84"/>
    <mergeCell ref="C34:N34"/>
    <mergeCell ref="C35:N35"/>
    <mergeCell ref="D37:N37"/>
    <mergeCell ref="D49:N49"/>
    <mergeCell ref="C50:N50"/>
    <mergeCell ref="D76:N76"/>
    <mergeCell ref="D77:N77"/>
    <mergeCell ref="D78:N78"/>
    <mergeCell ref="D64:N64"/>
    <mergeCell ref="D54:N54"/>
    <mergeCell ref="D63:N63"/>
    <mergeCell ref="D58:N58"/>
    <mergeCell ref="D60:N60"/>
    <mergeCell ref="C61:N61"/>
    <mergeCell ref="C62:N62"/>
    <mergeCell ref="D69:N69"/>
    <mergeCell ref="C71:N71"/>
    <mergeCell ref="D56:N56"/>
    <mergeCell ref="D57:N57"/>
    <mergeCell ref="D52:N52"/>
    <mergeCell ref="D53:N53"/>
    <mergeCell ref="D59:N59"/>
    <mergeCell ref="D13:N13"/>
    <mergeCell ref="D14:N14"/>
    <mergeCell ref="D29:N29"/>
    <mergeCell ref="C51:N51"/>
    <mergeCell ref="D40:N40"/>
    <mergeCell ref="D47:N47"/>
    <mergeCell ref="D48:N48"/>
    <mergeCell ref="D43:N43"/>
    <mergeCell ref="D44:N44"/>
    <mergeCell ref="D45:N45"/>
    <mergeCell ref="D46:N46"/>
    <mergeCell ref="D42:N42"/>
    <mergeCell ref="D41:N41"/>
    <mergeCell ref="D19:N19"/>
    <mergeCell ref="C20:N20"/>
    <mergeCell ref="C21:N21"/>
    <mergeCell ref="D15:N15"/>
    <mergeCell ref="D16:N16"/>
    <mergeCell ref="D17:N17"/>
    <mergeCell ref="D18:N18"/>
    <mergeCell ref="D22:N22"/>
    <mergeCell ref="D31:N31"/>
    <mergeCell ref="D32:N32"/>
    <mergeCell ref="D23:N23"/>
    <mergeCell ref="D24:N24"/>
    <mergeCell ref="D25:N25"/>
    <mergeCell ref="D26:N26"/>
    <mergeCell ref="C27:N27"/>
    <mergeCell ref="D30:N30"/>
    <mergeCell ref="C28:N28"/>
    <mergeCell ref="S1:U1"/>
    <mergeCell ref="T4:U4"/>
    <mergeCell ref="C1:G1"/>
    <mergeCell ref="C2:G2"/>
    <mergeCell ref="D12:N12"/>
    <mergeCell ref="K1:L1"/>
    <mergeCell ref="K2:L2"/>
    <mergeCell ref="E5:G5"/>
    <mergeCell ref="D8:N8"/>
    <mergeCell ref="D9:N9"/>
    <mergeCell ref="D10:N10"/>
    <mergeCell ref="D11:N11"/>
    <mergeCell ref="D33:N33"/>
    <mergeCell ref="D81:N81"/>
    <mergeCell ref="D65:N65"/>
    <mergeCell ref="D66:N66"/>
    <mergeCell ref="D67:N67"/>
    <mergeCell ref="D80:N80"/>
    <mergeCell ref="D79:N79"/>
    <mergeCell ref="D68:N68"/>
    <mergeCell ref="D72:N72"/>
    <mergeCell ref="D73:N73"/>
    <mergeCell ref="D74:N74"/>
    <mergeCell ref="D75:N75"/>
    <mergeCell ref="D36:N36"/>
    <mergeCell ref="D39:N39"/>
    <mergeCell ref="C70:N70"/>
    <mergeCell ref="D55:N55"/>
  </mergeCells>
  <conditionalFormatting sqref="M5">
    <cfRule type="containsText" dxfId="54" priority="4" operator="containsText" text="Fail">
      <formula>NOT(ISERROR(SEARCH("Fail",M5)))</formula>
    </cfRule>
  </conditionalFormatting>
  <conditionalFormatting sqref="P8:R19 P20 P22:R26 P29:R33 Q34:Q46 P36:P37 P39:P49 Q51:Q59 P52:P60 P63:P69 Q63:Q70 P72:P83 Q74:Q80">
    <cfRule type="containsText" dxfId="53" priority="1" operator="containsText" text="Fail">
      <formula>NOT(ISERROR(SEARCH("Fail",P8)))</formula>
    </cfRule>
  </conditionalFormatting>
  <conditionalFormatting sqref="Q85:R86">
    <cfRule type="containsText" dxfId="52" priority="6" operator="containsText" text="Fail">
      <formula>NOT(ISERROR(SEARCH("Fail",Q85)))</formula>
    </cfRule>
  </conditionalFormatting>
  <conditionalFormatting sqref="U1:U3 T4">
    <cfRule type="containsText" dxfId="51" priority="2" operator="containsText" text="Fail">
      <formula>NOT(ISERROR(SEARCH("Fail",T1)))</formula>
    </cfRule>
  </conditionalFormatting>
  <conditionalFormatting sqref="AE9">
    <cfRule type="containsText" dxfId="50" priority="5" operator="containsText" text="Fail">
      <formula>NOT(ISERROR(SEARCH("Fail",AE9)))</formula>
    </cfRule>
  </conditionalFormatting>
  <dataValidations count="4">
    <dataValidation type="whole" operator="greaterThan" allowBlank="1" showInputMessage="1" showErrorMessage="1" sqref="X9:X34" xr:uid="{AA46C040-2BC3-47FC-A9FE-D1A3198A09DE}">
      <formula1>0</formula1>
    </dataValidation>
    <dataValidation type="date" operator="greaterThan" allowBlank="1" showInputMessage="1" showErrorMessage="1" sqref="W9:W34" xr:uid="{D8455193-3232-4606-A177-6A0CC753B603}">
      <formula1>36526</formula1>
    </dataValidation>
    <dataValidation type="list" showErrorMessage="1" errorTitle="Invalid Selection" error="Select either Yes, No, or N/A from the dropdown list. Click &quot;Cancel&quot; below, then update selection." sqref="O73:O82 O23:O26 O53:O60 O39:O49 O64:O69 O37 O30:O33 O9:O19" xr:uid="{671738C8-0D36-4603-B85E-1A2D44B6DBBA}">
      <formula1>"Yes,No,N/A"</formula1>
    </dataValidation>
    <dataValidation type="decimal" operator="greaterThanOrEqual" allowBlank="1" showInputMessage="1" showErrorMessage="1" errorTitle="Input Error" error="Insert the claimed amount with dollars and cents in $0.00 format. Click &quot;Cancel&quot; below and try again." sqref="Y9:Y34" xr:uid="{126173C5-08E8-4865-85EB-FD1EBA4422A5}">
      <formula1>0</formula1>
    </dataValidation>
  </dataValidations>
  <pageMargins left="0.7" right="0.7" top="1" bottom="0.75" header="0.3" footer="0.3"/>
  <pageSetup scale="70" fitToHeight="0" orientation="portrait" r:id="rId1"/>
  <headerFooter>
    <oddHeader>&amp;CConfidential QI Report
San Diego County Mental Health Plan
Behavioral Health Services
Fiscal Year 23-24</oddHeader>
    <oddFooter>&amp;LFY 23-24 Medical Record Review Report - Excel - Rev. 7-1-23</oddFooter>
  </headerFooter>
  <colBreaks count="1" manualBreakCount="1">
    <brk id="15" max="84"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A541D95C-87A3-4177-B417-A1C66B6AA71C}">
          <x14:formula1>
            <xm:f>Validations!$E$4:$E$15</xm:f>
          </x14:formula1>
          <xm:sqref>Z9:Z34</xm:sqref>
        </x14:dataValidation>
        <x14:dataValidation type="list" allowBlank="1" showInputMessage="1" showErrorMessage="1" xr:uid="{C16923CB-42DD-495E-B6D3-C74DF7D5FABF}">
          <x14:formula1>
            <xm:f>Validations!$D$4:$D$7</xm:f>
          </x14:formula1>
          <xm:sqref>AA9:AA34</xm:sqref>
        </x14:dataValidation>
        <x14:dataValidation type="list" allowBlank="1" showInputMessage="1" showErrorMessage="1" xr:uid="{F4F4F21D-5E50-40CA-A31F-066D86A56FDB}">
          <x14:formula1>
            <xm:f>Validations!$C$4:$C$54</xm:f>
          </x14:formula1>
          <xm:sqref>V9:V34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1CBD3-C817-4F60-A39F-0AA1F404A1C2}">
  <sheetPr codeName="Sheet13">
    <tabColor theme="3" tint="0.39997558519241921"/>
  </sheetPr>
  <dimension ref="A1:AE90"/>
  <sheetViews>
    <sheetView showGridLines="0" view="pageBreakPreview" zoomScale="92" zoomScaleNormal="80" zoomScaleSheetLayoutView="92" workbookViewId="0">
      <selection activeCell="D12" sqref="D12:N12"/>
    </sheetView>
  </sheetViews>
  <sheetFormatPr defaultColWidth="9.5703125" defaultRowHeight="15" x14ac:dyDescent="0.2"/>
  <cols>
    <col min="1" max="1" width="7.7109375" style="106" customWidth="1"/>
    <col min="2" max="2" width="8.42578125" style="4" customWidth="1"/>
    <col min="3" max="3" width="8.42578125" style="5" customWidth="1"/>
    <col min="4" max="4" width="2.5703125" style="1" customWidth="1"/>
    <col min="5" max="5" width="7.140625" style="1" customWidth="1"/>
    <col min="6" max="6" width="8.5703125" style="1" customWidth="1"/>
    <col min="7" max="7" width="6.42578125" style="1" customWidth="1"/>
    <col min="8" max="8" width="4.7109375" style="1" customWidth="1"/>
    <col min="9" max="9" width="27.28515625" style="1" customWidth="1"/>
    <col min="10" max="10" width="2.5703125" style="1" customWidth="1"/>
    <col min="11" max="11" width="18.140625" style="1" customWidth="1"/>
    <col min="12" max="12" width="3.42578125" style="1" customWidth="1"/>
    <col min="13" max="13" width="12.140625" style="1" customWidth="1"/>
    <col min="14" max="14" width="9.5703125" style="1" customWidth="1"/>
    <col min="15" max="15" width="13.28515625" style="1" customWidth="1"/>
    <col min="16" max="16" width="8.7109375" style="1" hidden="1" customWidth="1"/>
    <col min="17" max="18" width="2" style="1" customWidth="1"/>
    <col min="19" max="19" width="11.7109375" customWidth="1"/>
    <col min="20" max="20" width="9.140625" customWidth="1"/>
    <col min="21" max="21" width="13.7109375" style="1" customWidth="1"/>
    <col min="22" max="22" width="23.42578125" style="1" customWidth="1"/>
    <col min="23" max="23" width="12.42578125" style="1" customWidth="1"/>
    <col min="24" max="25" width="9.5703125" style="1"/>
    <col min="26" max="26" width="12.140625" style="1" customWidth="1"/>
    <col min="27" max="27" width="14.85546875" style="1" customWidth="1"/>
    <col min="28" max="28" width="22.42578125" style="1" customWidth="1"/>
    <col min="29" max="16384" width="9.5703125" style="1"/>
  </cols>
  <sheetData>
    <row r="1" spans="1:31" s="5" customFormat="1" ht="15.75" x14ac:dyDescent="0.25">
      <c r="A1" s="106"/>
      <c r="B1" s="4"/>
      <c r="C1" s="560" t="s">
        <v>338</v>
      </c>
      <c r="D1" s="561"/>
      <c r="E1" s="561"/>
      <c r="F1" s="561"/>
      <c r="G1" s="562"/>
      <c r="H1"/>
      <c r="I1" s="86" t="s">
        <v>38</v>
      </c>
      <c r="J1" s="153"/>
      <c r="K1" s="560" t="s">
        <v>12</v>
      </c>
      <c r="L1" s="562"/>
      <c r="N1"/>
      <c r="O1"/>
      <c r="P1"/>
      <c r="Q1"/>
      <c r="R1"/>
      <c r="S1" s="560" t="s">
        <v>260</v>
      </c>
      <c r="T1" s="561"/>
      <c r="U1" s="562"/>
      <c r="V1"/>
      <c r="W1"/>
      <c r="X1"/>
      <c r="Y1"/>
      <c r="Z1"/>
      <c r="AA1"/>
      <c r="AB1"/>
    </row>
    <row r="2" spans="1:31" s="5" customFormat="1" ht="15" customHeight="1" x14ac:dyDescent="0.2">
      <c r="A2" s="106"/>
      <c r="B2" s="4"/>
      <c r="C2" s="583">
        <f>'Chart Review Info'!D3</f>
        <v>0</v>
      </c>
      <c r="D2" s="584"/>
      <c r="E2" s="584"/>
      <c r="F2" s="584"/>
      <c r="G2" s="585"/>
      <c r="H2"/>
      <c r="I2" s="150">
        <f>'Chart Review Info'!D4</f>
        <v>0</v>
      </c>
      <c r="J2" s="153"/>
      <c r="K2" s="592">
        <f>'Chart Review Info'!F24</f>
        <v>0</v>
      </c>
      <c r="L2" s="591"/>
      <c r="N2"/>
      <c r="O2"/>
      <c r="P2"/>
      <c r="Q2"/>
      <c r="R2"/>
      <c r="S2" s="55">
        <f>'Chart Review Info'!G4</f>
        <v>0</v>
      </c>
      <c r="T2" s="82" t="s">
        <v>261</v>
      </c>
      <c r="U2" s="83">
        <f>'Chart Review Info'!G5</f>
        <v>0</v>
      </c>
      <c r="V2"/>
      <c r="W2"/>
      <c r="X2"/>
      <c r="Y2"/>
      <c r="Z2"/>
      <c r="AA2"/>
      <c r="AB2"/>
    </row>
    <row r="3" spans="1:31" s="5" customFormat="1" x14ac:dyDescent="0.2">
      <c r="A3" s="106"/>
      <c r="B3" s="4"/>
      <c r="C3" s="84"/>
      <c r="H3"/>
      <c r="J3" s="98"/>
      <c r="V3"/>
      <c r="W3"/>
      <c r="X3"/>
      <c r="Y3"/>
      <c r="Z3"/>
      <c r="AA3"/>
      <c r="AB3"/>
    </row>
    <row r="4" spans="1:31" s="5" customFormat="1" ht="15.75" x14ac:dyDescent="0.25">
      <c r="A4" s="106"/>
      <c r="B4" s="4"/>
      <c r="C4" s="85" t="s">
        <v>202</v>
      </c>
      <c r="E4" s="85" t="s">
        <v>86</v>
      </c>
      <c r="F4" s="86"/>
      <c r="G4" s="85"/>
      <c r="H4"/>
      <c r="I4" s="151" t="s">
        <v>350</v>
      </c>
      <c r="J4" s="98"/>
      <c r="K4" s="87" t="s">
        <v>260</v>
      </c>
      <c r="L4" s="88"/>
      <c r="O4" s="86" t="s">
        <v>294</v>
      </c>
      <c r="P4"/>
      <c r="Q4"/>
      <c r="R4"/>
      <c r="S4" s="85" t="s">
        <v>12</v>
      </c>
      <c r="T4" s="563">
        <f>Prog_11</f>
        <v>0</v>
      </c>
      <c r="U4" s="564"/>
      <c r="V4"/>
      <c r="W4"/>
      <c r="X4"/>
      <c r="Y4"/>
      <c r="Z4"/>
      <c r="AA4"/>
      <c r="AB4"/>
    </row>
    <row r="5" spans="1:31" s="5" customFormat="1" x14ac:dyDescent="0.2">
      <c r="A5" s="106"/>
      <c r="B5" s="4"/>
      <c r="C5" s="54">
        <v>11</v>
      </c>
      <c r="E5" s="589" t="str">
        <f>'Chart Review Info'!C24</f>
        <v>N/A</v>
      </c>
      <c r="F5" s="590"/>
      <c r="G5" s="591"/>
      <c r="H5"/>
      <c r="I5" s="152">
        <f>Consum_11</f>
        <v>0</v>
      </c>
      <c r="J5" s="98"/>
      <c r="K5" s="293">
        <f>'Chart Review Info'!G4</f>
        <v>0</v>
      </c>
      <c r="L5" s="102" t="s">
        <v>261</v>
      </c>
      <c r="M5" s="293">
        <f>'Chart Review Info'!G5</f>
        <v>0</v>
      </c>
      <c r="O5" s="54">
        <f>'Chart Review Info'!G24</f>
        <v>0</v>
      </c>
      <c r="P5"/>
      <c r="Q5"/>
      <c r="R5"/>
      <c r="S5"/>
      <c r="T5"/>
      <c r="V5"/>
      <c r="W5"/>
      <c r="X5"/>
      <c r="Y5" s="6" t="s">
        <v>514</v>
      </c>
      <c r="Z5"/>
      <c r="AA5"/>
      <c r="AB5"/>
    </row>
    <row r="6" spans="1:31" x14ac:dyDescent="0.2">
      <c r="C6" s="154"/>
      <c r="D6" s="158"/>
      <c r="E6" s="155"/>
      <c r="F6" s="155"/>
      <c r="G6" s="155"/>
      <c r="H6" s="155"/>
      <c r="I6" s="155"/>
      <c r="J6" s="155"/>
      <c r="K6" s="155"/>
      <c r="L6" s="155"/>
      <c r="M6" s="155"/>
      <c r="N6" s="155"/>
      <c r="O6" s="155"/>
      <c r="P6" s="155"/>
      <c r="Q6" s="155"/>
      <c r="R6" s="155"/>
      <c r="T6" s="1"/>
      <c r="W6" s="51"/>
      <c r="Y6" s="329">
        <f>SUM(Y9:Y16)</f>
        <v>0</v>
      </c>
      <c r="AA6" s="13"/>
      <c r="AB6" s="13"/>
    </row>
    <row r="7" spans="1:31" ht="23.25" x14ac:dyDescent="0.25">
      <c r="C7" s="89" t="s">
        <v>262</v>
      </c>
      <c r="D7" s="159"/>
      <c r="E7" s="90"/>
      <c r="F7" s="90"/>
      <c r="G7" s="90"/>
      <c r="H7" s="90"/>
      <c r="I7" s="90"/>
      <c r="J7" s="90"/>
      <c r="K7" s="90"/>
      <c r="L7" s="90"/>
      <c r="M7" s="90"/>
      <c r="N7" s="90"/>
      <c r="O7" s="90"/>
      <c r="P7" s="90"/>
      <c r="S7" s="20"/>
      <c r="T7" s="21"/>
      <c r="U7" s="21"/>
      <c r="V7" s="21"/>
      <c r="W7" s="21"/>
      <c r="X7" s="160" t="s">
        <v>263</v>
      </c>
      <c r="Y7" s="160"/>
      <c r="Z7" s="160"/>
      <c r="AA7" s="22"/>
      <c r="AB7" s="23"/>
    </row>
    <row r="8" spans="1:31" ht="27" customHeight="1" x14ac:dyDescent="0.25">
      <c r="C8" s="91" t="s">
        <v>264</v>
      </c>
      <c r="D8" s="588" t="s">
        <v>68</v>
      </c>
      <c r="E8" s="574"/>
      <c r="F8" s="574"/>
      <c r="G8" s="574"/>
      <c r="H8" s="574"/>
      <c r="I8" s="574"/>
      <c r="J8" s="574"/>
      <c r="K8" s="574"/>
      <c r="L8" s="574"/>
      <c r="M8" s="574"/>
      <c r="N8" s="574"/>
      <c r="O8" s="92" t="s">
        <v>265</v>
      </c>
      <c r="P8" s="92" t="s">
        <v>266</v>
      </c>
      <c r="Q8" s="359"/>
      <c r="R8" s="351"/>
      <c r="S8" s="7" t="s">
        <v>449</v>
      </c>
      <c r="T8" s="9" t="s">
        <v>87</v>
      </c>
      <c r="U8" s="7" t="s">
        <v>88</v>
      </c>
      <c r="V8" s="7" t="s">
        <v>89</v>
      </c>
      <c r="W8" s="7" t="s">
        <v>90</v>
      </c>
      <c r="X8" s="7" t="s">
        <v>644</v>
      </c>
      <c r="Y8" s="8" t="s">
        <v>201</v>
      </c>
      <c r="Z8" s="116" t="s">
        <v>91</v>
      </c>
      <c r="AA8" s="117" t="s">
        <v>95</v>
      </c>
      <c r="AB8" s="117" t="s">
        <v>92</v>
      </c>
    </row>
    <row r="9" spans="1:31" ht="60" customHeight="1" x14ac:dyDescent="0.2">
      <c r="A9" s="212" t="s">
        <v>73</v>
      </c>
      <c r="B9" s="93"/>
      <c r="C9" s="94" t="s">
        <v>204</v>
      </c>
      <c r="D9" s="567" t="s">
        <v>658</v>
      </c>
      <c r="E9" s="470"/>
      <c r="F9" s="470"/>
      <c r="G9" s="470"/>
      <c r="H9" s="470"/>
      <c r="I9" s="470"/>
      <c r="J9" s="470"/>
      <c r="K9" s="470"/>
      <c r="L9" s="470"/>
      <c r="M9" s="470"/>
      <c r="N9" s="471"/>
      <c r="O9" s="71"/>
      <c r="P9" s="95" t="str">
        <f t="shared" ref="P9:P12" si="0">IF(O9="","",IF(O9="Yes","Pass",IF(O9="No","Fail","N/A")))</f>
        <v/>
      </c>
      <c r="Q9" s="173"/>
      <c r="R9" s="173"/>
      <c r="S9" s="124"/>
      <c r="T9" s="125"/>
      <c r="U9" s="125"/>
      <c r="V9" s="125"/>
      <c r="W9" s="126"/>
      <c r="X9" s="125"/>
      <c r="Y9" s="127"/>
      <c r="Z9" s="128"/>
      <c r="AA9" s="129"/>
      <c r="AB9" s="130"/>
      <c r="AC9" s="96"/>
      <c r="AD9" s="96"/>
      <c r="AE9" s="96"/>
    </row>
    <row r="10" spans="1:31" ht="87" customHeight="1" x14ac:dyDescent="0.2">
      <c r="A10" s="107">
        <v>1</v>
      </c>
      <c r="B10" s="93"/>
      <c r="C10" s="94" t="s">
        <v>205</v>
      </c>
      <c r="D10" s="567" t="s">
        <v>528</v>
      </c>
      <c r="E10" s="586"/>
      <c r="F10" s="586"/>
      <c r="G10" s="586"/>
      <c r="H10" s="586"/>
      <c r="I10" s="586"/>
      <c r="J10" s="586"/>
      <c r="K10" s="586"/>
      <c r="L10" s="586"/>
      <c r="M10" s="586"/>
      <c r="N10" s="587"/>
      <c r="O10" s="71"/>
      <c r="P10" s="95" t="str">
        <f t="shared" si="0"/>
        <v/>
      </c>
      <c r="Q10" s="173"/>
      <c r="R10" s="173"/>
      <c r="S10" s="124"/>
      <c r="T10" s="124"/>
      <c r="U10" s="124"/>
      <c r="V10" s="125"/>
      <c r="W10" s="131"/>
      <c r="X10" s="124"/>
      <c r="Y10" s="127"/>
      <c r="Z10" s="128"/>
      <c r="AA10" s="129"/>
      <c r="AB10" s="129"/>
    </row>
    <row r="11" spans="1:31" ht="50.25" customHeight="1" x14ac:dyDescent="0.2">
      <c r="A11" s="107" t="s">
        <v>70</v>
      </c>
      <c r="B11" s="93"/>
      <c r="C11" s="94" t="s">
        <v>206</v>
      </c>
      <c r="D11" s="567" t="s">
        <v>529</v>
      </c>
      <c r="E11" s="586"/>
      <c r="F11" s="586"/>
      <c r="G11" s="586"/>
      <c r="H11" s="586"/>
      <c r="I11" s="586"/>
      <c r="J11" s="586"/>
      <c r="K11" s="586"/>
      <c r="L11" s="586"/>
      <c r="M11" s="586"/>
      <c r="N11" s="587"/>
      <c r="O11" s="71"/>
      <c r="P11" s="95" t="str">
        <f t="shared" si="0"/>
        <v/>
      </c>
      <c r="Q11" s="173"/>
      <c r="R11" s="173"/>
      <c r="S11" s="124"/>
      <c r="T11" s="124"/>
      <c r="U11" s="124"/>
      <c r="V11" s="125"/>
      <c r="W11" s="131"/>
      <c r="X11" s="124"/>
      <c r="Y11" s="127"/>
      <c r="Z11" s="128"/>
      <c r="AA11" s="129"/>
      <c r="AB11" s="129"/>
    </row>
    <row r="12" spans="1:31" ht="33.75" customHeight="1" x14ac:dyDescent="0.2">
      <c r="A12" s="106">
        <v>1</v>
      </c>
      <c r="C12" s="94" t="s">
        <v>207</v>
      </c>
      <c r="D12" s="567" t="s">
        <v>659</v>
      </c>
      <c r="E12" s="586"/>
      <c r="F12" s="586"/>
      <c r="G12" s="586"/>
      <c r="H12" s="586"/>
      <c r="I12" s="586"/>
      <c r="J12" s="586"/>
      <c r="K12" s="586"/>
      <c r="L12" s="586"/>
      <c r="M12" s="586"/>
      <c r="N12" s="587"/>
      <c r="O12" s="71"/>
      <c r="P12" s="95" t="str">
        <f t="shared" si="0"/>
        <v/>
      </c>
      <c r="Q12" s="173"/>
      <c r="R12" s="173"/>
      <c r="S12" s="124"/>
      <c r="T12" s="124"/>
      <c r="U12" s="124"/>
      <c r="V12" s="125"/>
      <c r="W12" s="131"/>
      <c r="X12" s="124"/>
      <c r="Y12" s="127"/>
      <c r="Z12" s="128"/>
      <c r="AA12" s="129"/>
      <c r="AB12" s="129"/>
    </row>
    <row r="13" spans="1:31" ht="36" customHeight="1" x14ac:dyDescent="0.2">
      <c r="A13" s="107">
        <v>1</v>
      </c>
      <c r="B13" s="93"/>
      <c r="C13" s="97" t="s">
        <v>208</v>
      </c>
      <c r="D13" s="567" t="s">
        <v>656</v>
      </c>
      <c r="E13" s="470"/>
      <c r="F13" s="470"/>
      <c r="G13" s="470"/>
      <c r="H13" s="470"/>
      <c r="I13" s="470"/>
      <c r="J13" s="470"/>
      <c r="K13" s="470"/>
      <c r="L13" s="470"/>
      <c r="M13" s="470"/>
      <c r="N13" s="471"/>
      <c r="O13" s="71"/>
      <c r="P13" s="95" t="str">
        <f t="shared" ref="P13:P19" si="1">IF(O13="","",IF(O13="Yes","Pass",IF(O13="No","Fail","N/A")))</f>
        <v/>
      </c>
      <c r="Q13" s="173"/>
      <c r="R13" s="173"/>
      <c r="S13" s="124"/>
      <c r="T13" s="124"/>
      <c r="U13" s="124"/>
      <c r="V13" s="125"/>
      <c r="W13" s="131"/>
      <c r="X13" s="124"/>
      <c r="Y13" s="127"/>
      <c r="Z13" s="128"/>
      <c r="AA13" s="129"/>
      <c r="AB13" s="129"/>
    </row>
    <row r="14" spans="1:31" ht="46.5" customHeight="1" x14ac:dyDescent="0.2">
      <c r="A14" s="107" t="s">
        <v>70</v>
      </c>
      <c r="B14" s="93"/>
      <c r="C14" s="97" t="s">
        <v>209</v>
      </c>
      <c r="D14" s="567" t="s">
        <v>530</v>
      </c>
      <c r="E14" s="586"/>
      <c r="F14" s="586"/>
      <c r="G14" s="586"/>
      <c r="H14" s="586"/>
      <c r="I14" s="586"/>
      <c r="J14" s="586"/>
      <c r="K14" s="586"/>
      <c r="L14" s="586"/>
      <c r="M14" s="586"/>
      <c r="N14" s="587"/>
      <c r="O14" s="71"/>
      <c r="P14" s="95" t="str">
        <f t="shared" si="1"/>
        <v/>
      </c>
      <c r="Q14" s="173"/>
      <c r="R14" s="173"/>
      <c r="S14" s="124"/>
      <c r="T14" s="124"/>
      <c r="U14" s="124"/>
      <c r="V14" s="125"/>
      <c r="W14" s="131"/>
      <c r="X14" s="124"/>
      <c r="Y14" s="127"/>
      <c r="Z14" s="128"/>
      <c r="AA14" s="129"/>
      <c r="AB14" s="129"/>
    </row>
    <row r="15" spans="1:31" ht="49.5" customHeight="1" x14ac:dyDescent="0.2">
      <c r="A15" s="107">
        <v>1</v>
      </c>
      <c r="B15" s="93"/>
      <c r="C15" s="94" t="s">
        <v>210</v>
      </c>
      <c r="D15" s="567" t="s">
        <v>531</v>
      </c>
      <c r="E15" s="586"/>
      <c r="F15" s="586"/>
      <c r="G15" s="586"/>
      <c r="H15" s="586"/>
      <c r="I15" s="586"/>
      <c r="J15" s="586"/>
      <c r="K15" s="586"/>
      <c r="L15" s="586"/>
      <c r="M15" s="586"/>
      <c r="N15" s="587"/>
      <c r="O15" s="71"/>
      <c r="P15" s="95" t="str">
        <f t="shared" si="1"/>
        <v/>
      </c>
      <c r="Q15" s="173"/>
      <c r="R15" s="173"/>
      <c r="S15" s="124"/>
      <c r="T15" s="124"/>
      <c r="U15" s="124"/>
      <c r="V15" s="125"/>
      <c r="W15" s="131"/>
      <c r="X15" s="124"/>
      <c r="Y15" s="127"/>
      <c r="Z15" s="128"/>
      <c r="AA15" s="129"/>
      <c r="AB15" s="129"/>
    </row>
    <row r="16" spans="1:31" ht="66.75" customHeight="1" x14ac:dyDescent="0.2">
      <c r="A16" s="106">
        <v>1</v>
      </c>
      <c r="C16" s="97" t="s">
        <v>211</v>
      </c>
      <c r="D16" s="567" t="s">
        <v>532</v>
      </c>
      <c r="E16" s="586"/>
      <c r="F16" s="586"/>
      <c r="G16" s="586"/>
      <c r="H16" s="586"/>
      <c r="I16" s="586"/>
      <c r="J16" s="586"/>
      <c r="K16" s="586"/>
      <c r="L16" s="586"/>
      <c r="M16" s="586"/>
      <c r="N16" s="587"/>
      <c r="O16" s="71"/>
      <c r="P16" s="95" t="str">
        <f t="shared" si="1"/>
        <v/>
      </c>
      <c r="Q16" s="173"/>
      <c r="R16" s="173"/>
      <c r="S16" s="124"/>
      <c r="T16" s="124"/>
      <c r="U16" s="124"/>
      <c r="V16" s="125"/>
      <c r="W16" s="131"/>
      <c r="X16" s="124"/>
      <c r="Y16" s="127"/>
      <c r="Z16" s="128"/>
      <c r="AA16" s="129"/>
      <c r="AB16" s="129"/>
    </row>
    <row r="17" spans="1:28" ht="39" customHeight="1" x14ac:dyDescent="0.2">
      <c r="A17" s="107" t="s">
        <v>70</v>
      </c>
      <c r="B17" s="93"/>
      <c r="C17" s="97" t="s">
        <v>212</v>
      </c>
      <c r="D17" s="567" t="s">
        <v>533</v>
      </c>
      <c r="E17" s="586"/>
      <c r="F17" s="586"/>
      <c r="G17" s="586"/>
      <c r="H17" s="586"/>
      <c r="I17" s="586"/>
      <c r="J17" s="586"/>
      <c r="K17" s="586"/>
      <c r="L17" s="586"/>
      <c r="M17" s="586"/>
      <c r="N17" s="587"/>
      <c r="O17" s="71"/>
      <c r="P17" s="95" t="str">
        <f t="shared" si="1"/>
        <v/>
      </c>
      <c r="Q17" s="173"/>
      <c r="R17" s="173"/>
      <c r="S17" s="124"/>
      <c r="T17" s="124"/>
      <c r="U17" s="124"/>
      <c r="V17" s="125"/>
      <c r="W17" s="131"/>
      <c r="X17" s="124"/>
      <c r="Y17" s="127"/>
      <c r="Z17" s="128"/>
      <c r="AA17" s="129"/>
      <c r="AB17" s="129"/>
    </row>
    <row r="18" spans="1:28" ht="83.25" customHeight="1" x14ac:dyDescent="0.2">
      <c r="A18" s="107" t="s">
        <v>70</v>
      </c>
      <c r="B18" s="93"/>
      <c r="C18" s="94" t="s">
        <v>657</v>
      </c>
      <c r="D18" s="567" t="s">
        <v>534</v>
      </c>
      <c r="E18" s="586"/>
      <c r="F18" s="586"/>
      <c r="G18" s="586"/>
      <c r="H18" s="586"/>
      <c r="I18" s="586"/>
      <c r="J18" s="586"/>
      <c r="K18" s="586"/>
      <c r="L18" s="586"/>
      <c r="M18" s="586"/>
      <c r="N18" s="587"/>
      <c r="O18" s="71"/>
      <c r="P18" s="95" t="str">
        <f t="shared" si="1"/>
        <v/>
      </c>
      <c r="Q18" s="173"/>
      <c r="R18" s="173"/>
      <c r="S18" s="124"/>
      <c r="T18" s="124"/>
      <c r="U18" s="124"/>
      <c r="V18" s="125"/>
      <c r="W18" s="131"/>
      <c r="X18" s="124"/>
      <c r="Y18" s="127"/>
      <c r="Z18" s="128"/>
      <c r="AA18" s="129"/>
      <c r="AB18" s="129"/>
    </row>
    <row r="19" spans="1:28" ht="47.25" customHeight="1" x14ac:dyDescent="0.2">
      <c r="A19" s="107" t="s">
        <v>81</v>
      </c>
      <c r="B19" s="93"/>
      <c r="C19" s="391" t="s">
        <v>213</v>
      </c>
      <c r="D19" s="571" t="s">
        <v>535</v>
      </c>
      <c r="E19" s="572"/>
      <c r="F19" s="572"/>
      <c r="G19" s="572"/>
      <c r="H19" s="572"/>
      <c r="I19" s="572"/>
      <c r="J19" s="572"/>
      <c r="K19" s="572"/>
      <c r="L19" s="572"/>
      <c r="M19" s="572"/>
      <c r="N19" s="572"/>
      <c r="O19" s="71"/>
      <c r="P19" s="95" t="str">
        <f t="shared" si="1"/>
        <v/>
      </c>
      <c r="Q19" s="173"/>
      <c r="R19" s="173"/>
      <c r="S19" s="124"/>
      <c r="T19" s="124"/>
      <c r="U19" s="124"/>
      <c r="V19" s="125"/>
      <c r="W19" s="131"/>
      <c r="X19" s="124"/>
      <c r="Y19" s="127"/>
      <c r="Z19" s="128"/>
      <c r="AA19" s="129"/>
      <c r="AB19" s="129"/>
    </row>
    <row r="20" spans="1:28" ht="22.5" customHeight="1" x14ac:dyDescent="0.2">
      <c r="A20" s="106">
        <v>1</v>
      </c>
      <c r="B20" s="93"/>
      <c r="C20" s="575" t="s">
        <v>267</v>
      </c>
      <c r="D20" s="470"/>
      <c r="E20" s="470"/>
      <c r="F20" s="470"/>
      <c r="G20" s="470"/>
      <c r="H20" s="470"/>
      <c r="I20" s="470"/>
      <c r="J20" s="470"/>
      <c r="K20" s="470"/>
      <c r="L20" s="470"/>
      <c r="M20" s="470"/>
      <c r="N20" s="470"/>
      <c r="O20"/>
      <c r="P20" s="392"/>
      <c r="Q20" s="174"/>
      <c r="R20" s="174"/>
      <c r="S20" s="124"/>
      <c r="T20" s="124"/>
      <c r="U20" s="124"/>
      <c r="V20" s="125"/>
      <c r="W20" s="131"/>
      <c r="X20" s="124"/>
      <c r="Y20" s="127"/>
      <c r="Z20" s="128"/>
      <c r="AA20" s="129"/>
      <c r="AB20" s="129"/>
    </row>
    <row r="21" spans="1:28" ht="30.75" customHeight="1" x14ac:dyDescent="0.2">
      <c r="A21" s="107" t="s">
        <v>73</v>
      </c>
      <c r="C21" s="581" t="s">
        <v>17</v>
      </c>
      <c r="D21" s="470"/>
      <c r="E21" s="470"/>
      <c r="F21" s="470"/>
      <c r="G21" s="470"/>
      <c r="H21" s="470"/>
      <c r="I21" s="470"/>
      <c r="J21" s="470"/>
      <c r="K21" s="470"/>
      <c r="L21" s="470"/>
      <c r="M21" s="470"/>
      <c r="N21" s="471"/>
      <c r="O21" s="345"/>
      <c r="P21" s="343"/>
      <c r="Q21" s="172"/>
      <c r="R21" s="172"/>
      <c r="S21" s="124"/>
      <c r="T21" s="124"/>
      <c r="U21" s="124"/>
      <c r="V21" s="125"/>
      <c r="W21" s="131"/>
      <c r="X21" s="124"/>
      <c r="Y21" s="132"/>
      <c r="Z21" s="128"/>
      <c r="AA21" s="129"/>
      <c r="AB21" s="129"/>
    </row>
    <row r="22" spans="1:28" ht="18" customHeight="1" x14ac:dyDescent="0.25">
      <c r="C22" s="100" t="s">
        <v>264</v>
      </c>
      <c r="D22" s="573" t="s">
        <v>71</v>
      </c>
      <c r="E22" s="574"/>
      <c r="F22" s="574"/>
      <c r="G22" s="574"/>
      <c r="H22" s="574"/>
      <c r="I22" s="574"/>
      <c r="J22" s="574"/>
      <c r="K22" s="574"/>
      <c r="L22" s="574"/>
      <c r="M22" s="574"/>
      <c r="N22" s="440"/>
      <c r="O22" s="101" t="s">
        <v>265</v>
      </c>
      <c r="P22" s="101" t="s">
        <v>266</v>
      </c>
      <c r="Q22" s="359"/>
      <c r="R22" s="175"/>
      <c r="S22" s="124"/>
      <c r="T22" s="124"/>
      <c r="U22" s="124"/>
      <c r="V22" s="125"/>
      <c r="W22" s="131"/>
      <c r="X22" s="124"/>
      <c r="Y22" s="127"/>
      <c r="Z22" s="128"/>
      <c r="AA22" s="129"/>
      <c r="AB22" s="129"/>
    </row>
    <row r="23" spans="1:28" ht="18" customHeight="1" x14ac:dyDescent="0.2">
      <c r="A23" s="106">
        <v>1</v>
      </c>
      <c r="C23" s="102" t="s">
        <v>215</v>
      </c>
      <c r="D23" s="567" t="s">
        <v>268</v>
      </c>
      <c r="E23" s="470"/>
      <c r="F23" s="470"/>
      <c r="G23" s="470"/>
      <c r="H23" s="470"/>
      <c r="I23" s="470"/>
      <c r="J23" s="470"/>
      <c r="K23" s="470"/>
      <c r="L23" s="470"/>
      <c r="M23" s="470"/>
      <c r="N23" s="471"/>
      <c r="O23" s="71"/>
      <c r="P23" s="95" t="str">
        <f>IF(O23="","",IF(O23="Yes","Pass",IF(O23="No","Fail","N/A")))</f>
        <v/>
      </c>
      <c r="Q23" s="173"/>
      <c r="R23" s="173"/>
      <c r="S23" s="124"/>
      <c r="T23" s="124"/>
      <c r="U23" s="124"/>
      <c r="V23" s="125"/>
      <c r="W23" s="131"/>
      <c r="X23" s="124"/>
      <c r="Y23" s="127"/>
      <c r="Z23" s="128"/>
      <c r="AA23" s="129"/>
      <c r="AB23" s="129"/>
    </row>
    <row r="24" spans="1:28" ht="45" customHeight="1" x14ac:dyDescent="0.2">
      <c r="A24" s="107" t="s">
        <v>69</v>
      </c>
      <c r="C24" s="97" t="s">
        <v>216</v>
      </c>
      <c r="D24" s="567" t="s">
        <v>269</v>
      </c>
      <c r="E24" s="470"/>
      <c r="F24" s="470"/>
      <c r="G24" s="470"/>
      <c r="H24" s="470"/>
      <c r="I24" s="470"/>
      <c r="J24" s="470"/>
      <c r="K24" s="470"/>
      <c r="L24" s="470"/>
      <c r="M24" s="470"/>
      <c r="N24" s="471"/>
      <c r="O24" s="71"/>
      <c r="P24" s="95" t="str">
        <f>IF(O24="","",IF(O24="Yes","Pass",IF(O24="No","Fail","N/A")))</f>
        <v/>
      </c>
      <c r="Q24" s="173"/>
      <c r="R24" s="173"/>
      <c r="S24" s="124"/>
      <c r="T24" s="124"/>
      <c r="U24" s="124"/>
      <c r="V24" s="125"/>
      <c r="W24" s="131"/>
      <c r="X24" s="124"/>
      <c r="Y24" s="127"/>
      <c r="Z24" s="128"/>
      <c r="AA24" s="129"/>
      <c r="AB24" s="129"/>
    </row>
    <row r="25" spans="1:28" ht="45" customHeight="1" x14ac:dyDescent="0.2">
      <c r="A25" s="107" t="s">
        <v>69</v>
      </c>
      <c r="B25" s="93"/>
      <c r="C25" s="97" t="s">
        <v>217</v>
      </c>
      <c r="D25" s="567" t="s">
        <v>270</v>
      </c>
      <c r="E25" s="470"/>
      <c r="F25" s="470"/>
      <c r="G25" s="470"/>
      <c r="H25" s="470"/>
      <c r="I25" s="470"/>
      <c r="J25" s="470"/>
      <c r="K25" s="470"/>
      <c r="L25" s="470"/>
      <c r="M25" s="470"/>
      <c r="N25" s="471"/>
      <c r="O25" s="71"/>
      <c r="P25" s="95" t="str">
        <f>IF(O25="","",IF(O25="Yes","Pass",IF(O25="No","Fail","N/A")))</f>
        <v/>
      </c>
      <c r="Q25" s="173"/>
      <c r="R25" s="173"/>
      <c r="S25" s="124"/>
      <c r="T25" s="124"/>
      <c r="U25" s="124"/>
      <c r="V25" s="125"/>
      <c r="W25" s="131"/>
      <c r="X25" s="124"/>
      <c r="Y25" s="127"/>
      <c r="Z25" s="128"/>
      <c r="AA25" s="129"/>
      <c r="AB25" s="129"/>
    </row>
    <row r="26" spans="1:28" ht="51.75" customHeight="1" x14ac:dyDescent="0.2">
      <c r="A26" s="107" t="s">
        <v>69</v>
      </c>
      <c r="B26" s="93"/>
      <c r="C26" s="97" t="s">
        <v>218</v>
      </c>
      <c r="D26" s="567" t="s">
        <v>271</v>
      </c>
      <c r="E26" s="470"/>
      <c r="F26" s="470"/>
      <c r="G26" s="470"/>
      <c r="H26" s="470"/>
      <c r="I26" s="470"/>
      <c r="J26" s="470"/>
      <c r="K26" s="470"/>
      <c r="L26" s="470"/>
      <c r="M26" s="470"/>
      <c r="N26" s="470"/>
      <c r="O26" s="71"/>
      <c r="P26" s="95" t="str">
        <f>IF(O26="","",IF(O26="Yes","Pass",IF(O26="No","Fail","N/A")))</f>
        <v/>
      </c>
      <c r="Q26" s="173"/>
      <c r="R26" s="173"/>
      <c r="S26" s="124"/>
      <c r="T26" s="124"/>
      <c r="U26" s="124"/>
      <c r="V26" s="125"/>
      <c r="W26" s="131"/>
      <c r="X26" s="124"/>
      <c r="Y26" s="127"/>
      <c r="Z26" s="128"/>
      <c r="AA26" s="129"/>
      <c r="AB26" s="129"/>
    </row>
    <row r="27" spans="1:28" ht="22.5" customHeight="1" x14ac:dyDescent="0.2">
      <c r="A27" s="106">
        <v>1</v>
      </c>
      <c r="B27" s="93"/>
      <c r="C27" s="580" t="s">
        <v>272</v>
      </c>
      <c r="D27" s="470"/>
      <c r="E27" s="470"/>
      <c r="F27" s="470"/>
      <c r="G27" s="470"/>
      <c r="H27" s="470"/>
      <c r="I27" s="470"/>
      <c r="J27" s="470"/>
      <c r="K27" s="470"/>
      <c r="L27" s="470"/>
      <c r="M27" s="470"/>
      <c r="N27" s="470"/>
      <c r="O27" s="341"/>
      <c r="Q27" s="123"/>
      <c r="R27" s="123"/>
      <c r="S27" s="124"/>
      <c r="T27" s="124"/>
      <c r="U27" s="124"/>
      <c r="V27" s="125"/>
      <c r="W27" s="131"/>
      <c r="X27" s="124"/>
      <c r="Y27" s="127"/>
      <c r="Z27" s="128"/>
      <c r="AA27" s="129"/>
      <c r="AB27" s="129"/>
    </row>
    <row r="28" spans="1:28" ht="29.25" customHeight="1" x14ac:dyDescent="0.2">
      <c r="A28" s="107" t="s">
        <v>73</v>
      </c>
      <c r="C28" s="581" t="s">
        <v>17</v>
      </c>
      <c r="D28" s="470"/>
      <c r="E28" s="470"/>
      <c r="F28" s="470"/>
      <c r="G28" s="470"/>
      <c r="H28" s="470"/>
      <c r="I28" s="470"/>
      <c r="J28" s="470"/>
      <c r="K28" s="470"/>
      <c r="L28" s="470"/>
      <c r="M28" s="470"/>
      <c r="N28" s="470"/>
      <c r="O28" s="345"/>
      <c r="P28" s="340"/>
      <c r="Q28" s="123"/>
      <c r="R28" s="123"/>
      <c r="S28" s="124"/>
      <c r="T28" s="124"/>
      <c r="U28" s="124"/>
      <c r="V28" s="125"/>
      <c r="W28" s="131"/>
      <c r="X28" s="133"/>
      <c r="Y28" s="132"/>
      <c r="Z28" s="128"/>
      <c r="AA28" s="129"/>
      <c r="AB28" s="129"/>
    </row>
    <row r="29" spans="1:28" ht="24" customHeight="1" x14ac:dyDescent="0.25">
      <c r="C29" s="100" t="s">
        <v>264</v>
      </c>
      <c r="D29" s="573" t="s">
        <v>465</v>
      </c>
      <c r="E29" s="574"/>
      <c r="F29" s="574"/>
      <c r="G29" s="574"/>
      <c r="H29" s="574"/>
      <c r="I29" s="574"/>
      <c r="J29" s="574"/>
      <c r="K29" s="574"/>
      <c r="L29" s="574"/>
      <c r="M29" s="574"/>
      <c r="N29" s="574"/>
      <c r="O29" s="101" t="s">
        <v>265</v>
      </c>
      <c r="P29" s="101" t="s">
        <v>266</v>
      </c>
      <c r="Q29" s="359"/>
      <c r="R29" s="175"/>
      <c r="S29" s="124"/>
      <c r="T29" s="124"/>
      <c r="U29" s="124"/>
      <c r="V29" s="125"/>
      <c r="W29" s="131"/>
      <c r="X29" s="133"/>
      <c r="Y29" s="132"/>
      <c r="Z29" s="128"/>
      <c r="AA29" s="129"/>
      <c r="AB29" s="129"/>
    </row>
    <row r="30" spans="1:28" ht="66" customHeight="1" x14ac:dyDescent="0.2">
      <c r="A30" s="107" t="s">
        <v>69</v>
      </c>
      <c r="C30" s="102" t="s">
        <v>466</v>
      </c>
      <c r="D30" s="567" t="s">
        <v>467</v>
      </c>
      <c r="E30" s="572"/>
      <c r="F30" s="572"/>
      <c r="G30" s="572"/>
      <c r="H30" s="572"/>
      <c r="I30" s="572"/>
      <c r="J30" s="572"/>
      <c r="K30" s="572"/>
      <c r="L30" s="572"/>
      <c r="M30" s="572"/>
      <c r="N30" s="572"/>
      <c r="O30" s="71"/>
      <c r="P30" s="95" t="str">
        <f t="shared" ref="P30:P31" si="2">IF(O30="","",IF(O30="Yes","Pass",IF(O30="No","Fail","N/A")))</f>
        <v/>
      </c>
      <c r="Q30" s="173"/>
      <c r="R30" s="173"/>
      <c r="S30" s="124"/>
      <c r="T30" s="124"/>
      <c r="U30" s="124"/>
      <c r="V30" s="125"/>
      <c r="W30" s="131"/>
      <c r="X30" s="133"/>
      <c r="Y30" s="132"/>
      <c r="Z30" s="128"/>
      <c r="AA30" s="129"/>
      <c r="AB30" s="129"/>
    </row>
    <row r="31" spans="1:28" ht="33.75" customHeight="1" x14ac:dyDescent="0.2">
      <c r="A31" s="107" t="s">
        <v>73</v>
      </c>
      <c r="B31" s="93"/>
      <c r="C31" s="102" t="s">
        <v>471</v>
      </c>
      <c r="D31" s="579" t="s">
        <v>468</v>
      </c>
      <c r="E31" s="572"/>
      <c r="F31" s="572"/>
      <c r="G31" s="572"/>
      <c r="H31" s="572"/>
      <c r="I31" s="572"/>
      <c r="J31" s="572"/>
      <c r="K31" s="572"/>
      <c r="L31" s="572"/>
      <c r="M31" s="572"/>
      <c r="N31" s="572"/>
      <c r="O31" s="71"/>
      <c r="P31" s="95" t="str">
        <f t="shared" si="2"/>
        <v/>
      </c>
      <c r="Q31" s="173"/>
      <c r="R31" s="173"/>
      <c r="S31" s="124"/>
      <c r="T31" s="124"/>
      <c r="U31" s="124"/>
      <c r="V31" s="125"/>
      <c r="W31" s="131"/>
      <c r="X31" s="133"/>
      <c r="Y31" s="132"/>
      <c r="Z31" s="128"/>
      <c r="AA31" s="129"/>
      <c r="AB31" s="129"/>
    </row>
    <row r="32" spans="1:28" ht="45" customHeight="1" x14ac:dyDescent="0.2">
      <c r="A32" s="107" t="s">
        <v>69</v>
      </c>
      <c r="B32" s="93"/>
      <c r="C32" s="102" t="s">
        <v>472</v>
      </c>
      <c r="D32" s="579" t="s">
        <v>469</v>
      </c>
      <c r="E32" s="572"/>
      <c r="F32" s="572"/>
      <c r="G32" s="572"/>
      <c r="H32" s="572"/>
      <c r="I32" s="572"/>
      <c r="J32" s="572"/>
      <c r="K32" s="572"/>
      <c r="L32" s="572"/>
      <c r="M32" s="572"/>
      <c r="N32" s="572"/>
      <c r="O32" s="71"/>
      <c r="P32" s="95" t="str">
        <f>IF(O32="","",IF(O32="Yes","Pass",IF(O32="No","Fail","N/A")))</f>
        <v/>
      </c>
      <c r="Q32" s="173"/>
      <c r="R32" s="173"/>
      <c r="S32" s="124"/>
      <c r="T32" s="124"/>
      <c r="U32" s="124"/>
      <c r="V32" s="125"/>
      <c r="W32" s="131"/>
      <c r="X32" s="133"/>
      <c r="Y32" s="132"/>
      <c r="Z32" s="128"/>
      <c r="AA32" s="129"/>
      <c r="AB32" s="129"/>
    </row>
    <row r="33" spans="1:28" ht="30" customHeight="1" x14ac:dyDescent="0.2">
      <c r="A33" s="107" t="s">
        <v>70</v>
      </c>
      <c r="B33" s="93"/>
      <c r="C33" s="102" t="s">
        <v>473</v>
      </c>
      <c r="D33" s="579" t="s">
        <v>470</v>
      </c>
      <c r="E33" s="572"/>
      <c r="F33" s="572"/>
      <c r="G33" s="572"/>
      <c r="H33" s="572"/>
      <c r="I33" s="572"/>
      <c r="J33" s="572"/>
      <c r="K33" s="572"/>
      <c r="L33" s="572"/>
      <c r="M33" s="572"/>
      <c r="N33" s="572"/>
      <c r="O33" s="71"/>
      <c r="P33" s="95" t="str">
        <f>IF(O33="","",IF(O33="Yes","Pass",IF(O33="No","Fail","N/A")))</f>
        <v/>
      </c>
      <c r="Q33" s="173"/>
      <c r="R33" s="173"/>
      <c r="S33" s="124"/>
      <c r="T33" s="124"/>
      <c r="U33" s="124"/>
      <c r="V33" s="125"/>
      <c r="W33" s="131"/>
      <c r="X33" s="133"/>
      <c r="Y33" s="132"/>
      <c r="Z33" s="128"/>
      <c r="AA33" s="129"/>
      <c r="AB33" s="129"/>
    </row>
    <row r="34" spans="1:28" ht="24" customHeight="1" x14ac:dyDescent="0.2">
      <c r="A34" s="107" t="s">
        <v>69</v>
      </c>
      <c r="B34" s="93"/>
      <c r="C34" s="580" t="s">
        <v>545</v>
      </c>
      <c r="D34" s="470"/>
      <c r="E34" s="470"/>
      <c r="F34" s="470"/>
      <c r="G34" s="470"/>
      <c r="H34" s="470"/>
      <c r="I34" s="470"/>
      <c r="J34" s="470"/>
      <c r="K34" s="470"/>
      <c r="L34" s="470"/>
      <c r="M34" s="470"/>
      <c r="N34" s="470"/>
      <c r="O34" s="341"/>
      <c r="Q34" s="359"/>
      <c r="S34" s="124"/>
      <c r="T34" s="124"/>
      <c r="U34" s="124"/>
      <c r="V34" s="125"/>
      <c r="W34" s="131"/>
      <c r="X34" s="133"/>
      <c r="Y34" s="132"/>
      <c r="Z34" s="128"/>
      <c r="AA34" s="129"/>
      <c r="AB34" s="129"/>
    </row>
    <row r="35" spans="1:28" ht="27.75" customHeight="1" x14ac:dyDescent="0.2">
      <c r="A35" s="107" t="s">
        <v>69</v>
      </c>
      <c r="B35" s="93"/>
      <c r="C35" s="581" t="s">
        <v>17</v>
      </c>
      <c r="D35" s="470"/>
      <c r="E35" s="470"/>
      <c r="F35" s="470"/>
      <c r="G35" s="470"/>
      <c r="H35" s="470"/>
      <c r="I35" s="470"/>
      <c r="J35" s="470"/>
      <c r="K35" s="470"/>
      <c r="L35" s="470"/>
      <c r="M35" s="470"/>
      <c r="N35" s="470"/>
      <c r="O35" s="345"/>
      <c r="Q35" s="173"/>
      <c r="R35"/>
      <c r="U35"/>
      <c r="V35"/>
      <c r="W35"/>
      <c r="X35"/>
      <c r="Y35"/>
      <c r="Z35"/>
      <c r="AA35"/>
      <c r="AB35"/>
    </row>
    <row r="36" spans="1:28" ht="24.75" customHeight="1" x14ac:dyDescent="0.25">
      <c r="A36" s="107" t="s">
        <v>70</v>
      </c>
      <c r="B36" s="93"/>
      <c r="C36" s="100" t="s">
        <v>264</v>
      </c>
      <c r="D36" s="573" t="s">
        <v>72</v>
      </c>
      <c r="E36" s="574"/>
      <c r="F36" s="574"/>
      <c r="G36" s="574"/>
      <c r="H36" s="574"/>
      <c r="I36" s="574"/>
      <c r="J36" s="574"/>
      <c r="K36" s="574"/>
      <c r="L36" s="574"/>
      <c r="M36" s="574"/>
      <c r="N36" s="440"/>
      <c r="O36" s="101" t="s">
        <v>265</v>
      </c>
      <c r="P36" s="101" t="s">
        <v>266</v>
      </c>
      <c r="Q36" s="173"/>
      <c r="R36"/>
      <c r="U36"/>
      <c r="V36"/>
      <c r="W36"/>
      <c r="X36"/>
      <c r="Y36"/>
      <c r="Z36"/>
      <c r="AA36"/>
      <c r="AB36"/>
    </row>
    <row r="37" spans="1:28" ht="31.5" customHeight="1" x14ac:dyDescent="0.2">
      <c r="A37" s="107" t="s">
        <v>73</v>
      </c>
      <c r="B37" s="93"/>
      <c r="C37" s="103" t="s">
        <v>220</v>
      </c>
      <c r="D37" s="445" t="s">
        <v>544</v>
      </c>
      <c r="E37" s="568"/>
      <c r="F37" s="568"/>
      <c r="G37" s="568"/>
      <c r="H37" s="568"/>
      <c r="I37" s="568"/>
      <c r="J37" s="568"/>
      <c r="K37" s="568"/>
      <c r="L37" s="568"/>
      <c r="M37" s="568"/>
      <c r="N37" s="569"/>
      <c r="O37" s="71"/>
      <c r="P37" s="95" t="str">
        <f>IF(O37="","",IF(O37="Yes","Pass",IF(O37="No","Fail","N/A")))</f>
        <v/>
      </c>
      <c r="Q37" s="173"/>
      <c r="R37"/>
      <c r="U37"/>
      <c r="V37"/>
      <c r="W37"/>
      <c r="X37"/>
      <c r="Y37"/>
      <c r="Z37"/>
      <c r="AA37"/>
      <c r="AB37"/>
    </row>
    <row r="38" spans="1:28" ht="30" customHeight="1" x14ac:dyDescent="0.2">
      <c r="A38" s="107" t="s">
        <v>70</v>
      </c>
      <c r="B38" s="93"/>
      <c r="C38" s="185"/>
      <c r="D38" s="296" t="s">
        <v>351</v>
      </c>
      <c r="E38" s="297"/>
      <c r="F38" s="298"/>
      <c r="G38" s="299"/>
      <c r="I38" s="300" t="s">
        <v>352</v>
      </c>
      <c r="J38" s="299"/>
      <c r="K38" s="301" t="s">
        <v>353</v>
      </c>
      <c r="L38" s="191"/>
      <c r="M38" s="302"/>
      <c r="N38" s="303" t="e">
        <f>J38/G38</f>
        <v>#DIV/0!</v>
      </c>
      <c r="Q38" s="173"/>
      <c r="R38"/>
      <c r="U38"/>
      <c r="V38"/>
      <c r="W38"/>
      <c r="X38"/>
      <c r="Y38"/>
      <c r="Z38"/>
      <c r="AA38"/>
      <c r="AB38"/>
    </row>
    <row r="39" spans="1:28" ht="38.25" customHeight="1" x14ac:dyDescent="0.2">
      <c r="A39" s="107" t="s">
        <v>73</v>
      </c>
      <c r="B39" s="93"/>
      <c r="C39" s="97" t="s">
        <v>133</v>
      </c>
      <c r="D39" s="579" t="s">
        <v>645</v>
      </c>
      <c r="E39" s="572"/>
      <c r="F39" s="572"/>
      <c r="G39" s="572"/>
      <c r="H39" s="572"/>
      <c r="I39" s="572"/>
      <c r="J39" s="572"/>
      <c r="K39" s="572"/>
      <c r="L39" s="572"/>
      <c r="M39" s="572"/>
      <c r="N39" s="572"/>
      <c r="O39" s="71"/>
      <c r="P39" s="95" t="str">
        <f t="shared" ref="P39:P49" si="3">IF(O39="","",IF(O39="Yes","Pass",IF(O39="No","Fail","N/A")))</f>
        <v/>
      </c>
      <c r="Q39" s="173"/>
      <c r="R39"/>
      <c r="U39"/>
      <c r="V39"/>
      <c r="W39"/>
      <c r="X39"/>
      <c r="Y39"/>
      <c r="Z39"/>
      <c r="AA39"/>
      <c r="AB39"/>
    </row>
    <row r="40" spans="1:28" ht="30" customHeight="1" x14ac:dyDescent="0.2">
      <c r="A40" s="107" t="s">
        <v>70</v>
      </c>
      <c r="B40" s="93"/>
      <c r="C40" s="97" t="s">
        <v>221</v>
      </c>
      <c r="D40" s="579" t="s">
        <v>536</v>
      </c>
      <c r="E40" s="470"/>
      <c r="F40" s="470"/>
      <c r="G40" s="470"/>
      <c r="H40" s="470"/>
      <c r="I40" s="470"/>
      <c r="J40" s="470"/>
      <c r="K40" s="470"/>
      <c r="L40" s="470"/>
      <c r="M40" s="470"/>
      <c r="N40" s="470"/>
      <c r="O40" s="71"/>
      <c r="P40" s="95" t="str">
        <f t="shared" si="3"/>
        <v/>
      </c>
      <c r="Q40" s="173"/>
      <c r="R40"/>
      <c r="U40"/>
      <c r="V40"/>
      <c r="W40"/>
      <c r="X40"/>
      <c r="Y40"/>
      <c r="Z40"/>
      <c r="AA40"/>
      <c r="AB40"/>
    </row>
    <row r="41" spans="1:28" ht="41.25" customHeight="1" x14ac:dyDescent="0.2">
      <c r="A41" s="107">
        <v>1</v>
      </c>
      <c r="B41" s="93"/>
      <c r="C41" s="103" t="s">
        <v>222</v>
      </c>
      <c r="D41" s="445" t="s">
        <v>537</v>
      </c>
      <c r="E41" s="568"/>
      <c r="F41" s="568"/>
      <c r="G41" s="568"/>
      <c r="H41" s="568"/>
      <c r="I41" s="568"/>
      <c r="J41" s="568"/>
      <c r="K41" s="568"/>
      <c r="L41" s="568"/>
      <c r="M41" s="568"/>
      <c r="N41" s="569"/>
      <c r="O41" s="71"/>
      <c r="P41" s="95" t="str">
        <f t="shared" si="3"/>
        <v/>
      </c>
      <c r="Q41" s="173"/>
      <c r="R41"/>
      <c r="U41"/>
      <c r="V41"/>
      <c r="W41"/>
      <c r="X41"/>
      <c r="Y41"/>
      <c r="Z41"/>
      <c r="AA41"/>
      <c r="AB41"/>
    </row>
    <row r="42" spans="1:28" ht="34.5" customHeight="1" x14ac:dyDescent="0.2">
      <c r="A42" s="107"/>
      <c r="B42" s="93"/>
      <c r="C42" s="97" t="s">
        <v>223</v>
      </c>
      <c r="D42" s="445" t="s">
        <v>538</v>
      </c>
      <c r="E42" s="568"/>
      <c r="F42" s="568"/>
      <c r="G42" s="568"/>
      <c r="H42" s="568"/>
      <c r="I42" s="568"/>
      <c r="J42" s="568"/>
      <c r="K42" s="568"/>
      <c r="L42" s="568"/>
      <c r="M42" s="568"/>
      <c r="N42" s="569"/>
      <c r="O42" s="71"/>
      <c r="P42" s="95" t="str">
        <f t="shared" si="3"/>
        <v/>
      </c>
      <c r="Q42" s="173"/>
      <c r="R42"/>
      <c r="U42"/>
      <c r="V42"/>
      <c r="W42"/>
      <c r="X42"/>
      <c r="Y42"/>
      <c r="Z42"/>
      <c r="AA42"/>
      <c r="AB42"/>
    </row>
    <row r="43" spans="1:28" ht="33" customHeight="1" x14ac:dyDescent="0.2">
      <c r="A43" s="106">
        <v>1</v>
      </c>
      <c r="B43" s="93"/>
      <c r="C43" s="97" t="s">
        <v>224</v>
      </c>
      <c r="D43" s="445" t="s">
        <v>273</v>
      </c>
      <c r="E43" s="568"/>
      <c r="F43" s="568"/>
      <c r="G43" s="568"/>
      <c r="H43" s="568"/>
      <c r="I43" s="568"/>
      <c r="J43" s="568"/>
      <c r="K43" s="568"/>
      <c r="L43" s="568"/>
      <c r="M43" s="568"/>
      <c r="N43" s="569"/>
      <c r="O43" s="71"/>
      <c r="P43" s="95" t="str">
        <f t="shared" si="3"/>
        <v/>
      </c>
      <c r="Q43" s="173"/>
      <c r="R43"/>
      <c r="U43"/>
      <c r="V43"/>
      <c r="W43"/>
      <c r="X43"/>
      <c r="Y43"/>
      <c r="Z43"/>
      <c r="AA43"/>
      <c r="AB43"/>
    </row>
    <row r="44" spans="1:28" ht="35.25" customHeight="1" x14ac:dyDescent="0.2">
      <c r="A44" s="107" t="s">
        <v>73</v>
      </c>
      <c r="C44" s="103" t="s">
        <v>225</v>
      </c>
      <c r="D44" s="567" t="s">
        <v>274</v>
      </c>
      <c r="E44" s="470"/>
      <c r="F44" s="470"/>
      <c r="G44" s="470"/>
      <c r="H44" s="470"/>
      <c r="I44" s="470"/>
      <c r="J44" s="470"/>
      <c r="K44" s="470"/>
      <c r="L44" s="470"/>
      <c r="M44" s="470"/>
      <c r="N44" s="470"/>
      <c r="O44" s="71"/>
      <c r="P44" s="95" t="str">
        <f t="shared" si="3"/>
        <v/>
      </c>
      <c r="Q44" s="173"/>
      <c r="R44"/>
      <c r="U44"/>
      <c r="V44"/>
      <c r="W44"/>
      <c r="X44"/>
      <c r="Y44"/>
      <c r="Z44"/>
      <c r="AA44"/>
      <c r="AB44"/>
    </row>
    <row r="45" spans="1:28" ht="35.25" customHeight="1" x14ac:dyDescent="0.2">
      <c r="B45" s="93"/>
      <c r="C45" s="97" t="s">
        <v>226</v>
      </c>
      <c r="D45" s="445" t="s">
        <v>275</v>
      </c>
      <c r="E45" s="568"/>
      <c r="F45" s="568"/>
      <c r="G45" s="568"/>
      <c r="H45" s="568"/>
      <c r="I45" s="568"/>
      <c r="J45" s="568"/>
      <c r="K45" s="568"/>
      <c r="L45" s="568"/>
      <c r="M45" s="568"/>
      <c r="N45" s="569"/>
      <c r="O45" s="71"/>
      <c r="P45" s="95" t="str">
        <f t="shared" si="3"/>
        <v/>
      </c>
      <c r="Q45" s="173"/>
      <c r="R45"/>
      <c r="U45"/>
      <c r="V45"/>
      <c r="W45"/>
      <c r="X45"/>
      <c r="Y45"/>
      <c r="Z45"/>
      <c r="AA45"/>
      <c r="AB45"/>
    </row>
    <row r="46" spans="1:28" ht="18" customHeight="1" x14ac:dyDescent="0.2">
      <c r="C46" s="97" t="s">
        <v>227</v>
      </c>
      <c r="D46" s="445" t="s">
        <v>276</v>
      </c>
      <c r="E46" s="570"/>
      <c r="F46" s="570"/>
      <c r="G46" s="570"/>
      <c r="H46" s="570"/>
      <c r="I46" s="570"/>
      <c r="J46" s="570"/>
      <c r="K46" s="570"/>
      <c r="L46" s="570"/>
      <c r="M46" s="570"/>
      <c r="N46" s="570"/>
      <c r="O46" s="71"/>
      <c r="P46" s="95" t="str">
        <f t="shared" si="3"/>
        <v/>
      </c>
      <c r="Q46" s="173"/>
      <c r="R46"/>
      <c r="U46"/>
      <c r="V46"/>
      <c r="W46"/>
      <c r="X46"/>
      <c r="Y46"/>
      <c r="Z46"/>
      <c r="AA46"/>
      <c r="AB46"/>
    </row>
    <row r="47" spans="1:28" ht="35.25" customHeight="1" x14ac:dyDescent="0.2">
      <c r="A47" s="106">
        <v>1</v>
      </c>
      <c r="C47" s="103" t="s">
        <v>228</v>
      </c>
      <c r="D47" s="445" t="s">
        <v>277</v>
      </c>
      <c r="E47" s="568"/>
      <c r="F47" s="568"/>
      <c r="G47" s="568"/>
      <c r="H47" s="568"/>
      <c r="I47" s="568"/>
      <c r="J47" s="568"/>
      <c r="K47" s="568"/>
      <c r="L47" s="568"/>
      <c r="M47" s="568"/>
      <c r="N47" s="569"/>
      <c r="O47" s="71"/>
      <c r="P47" s="95" t="str">
        <f t="shared" si="3"/>
        <v/>
      </c>
      <c r="R47"/>
      <c r="U47"/>
      <c r="V47"/>
      <c r="W47"/>
      <c r="X47"/>
      <c r="Y47"/>
      <c r="Z47"/>
      <c r="AA47"/>
      <c r="AB47"/>
    </row>
    <row r="48" spans="1:28" ht="57.75" customHeight="1" x14ac:dyDescent="0.2">
      <c r="A48" s="107" t="s">
        <v>69</v>
      </c>
      <c r="C48" s="97" t="s">
        <v>229</v>
      </c>
      <c r="D48" s="565" t="s">
        <v>539</v>
      </c>
      <c r="E48" s="566"/>
      <c r="F48" s="566"/>
      <c r="G48" s="566"/>
      <c r="H48" s="566"/>
      <c r="I48" s="566"/>
      <c r="J48" s="566"/>
      <c r="K48" s="566"/>
      <c r="L48" s="566"/>
      <c r="M48" s="566"/>
      <c r="N48" s="566"/>
      <c r="O48" s="71"/>
      <c r="P48" s="95" t="str">
        <f t="shared" si="3"/>
        <v/>
      </c>
      <c r="Q48" s="171"/>
      <c r="R48"/>
      <c r="U48"/>
      <c r="V48"/>
      <c r="W48"/>
      <c r="X48"/>
      <c r="Y48"/>
      <c r="Z48"/>
      <c r="AA48"/>
      <c r="AB48"/>
    </row>
    <row r="49" spans="1:28" ht="39" customHeight="1" x14ac:dyDescent="0.2">
      <c r="A49" s="106">
        <v>1</v>
      </c>
      <c r="B49" s="93"/>
      <c r="C49" s="97" t="s">
        <v>230</v>
      </c>
      <c r="D49" s="567" t="s">
        <v>540</v>
      </c>
      <c r="E49" s="470"/>
      <c r="F49" s="470"/>
      <c r="G49" s="470"/>
      <c r="H49" s="470"/>
      <c r="I49" s="470"/>
      <c r="J49" s="470"/>
      <c r="K49" s="470"/>
      <c r="L49" s="470"/>
      <c r="M49" s="470"/>
      <c r="N49" s="471"/>
      <c r="O49" s="71"/>
      <c r="P49" s="95" t="str">
        <f t="shared" si="3"/>
        <v/>
      </c>
      <c r="Q49" s="123"/>
      <c r="R49"/>
      <c r="U49"/>
      <c r="V49"/>
      <c r="W49"/>
      <c r="X49"/>
      <c r="Y49"/>
      <c r="Z49"/>
      <c r="AA49"/>
      <c r="AB49"/>
    </row>
    <row r="50" spans="1:28" ht="19.5" customHeight="1" x14ac:dyDescent="0.2">
      <c r="A50" s="107" t="s">
        <v>73</v>
      </c>
      <c r="C50" s="580" t="s">
        <v>278</v>
      </c>
      <c r="D50" s="470"/>
      <c r="E50" s="470"/>
      <c r="F50" s="470"/>
      <c r="G50" s="470"/>
      <c r="H50" s="470"/>
      <c r="I50" s="470"/>
      <c r="J50" s="470"/>
      <c r="K50" s="470"/>
      <c r="L50" s="470"/>
      <c r="M50" s="470"/>
      <c r="N50" s="470"/>
      <c r="O50" s="347"/>
      <c r="P50" s="344"/>
      <c r="Q50" s="99"/>
      <c r="R50"/>
      <c r="U50"/>
      <c r="V50"/>
      <c r="W50"/>
      <c r="X50"/>
      <c r="Y50"/>
      <c r="Z50"/>
      <c r="AA50"/>
      <c r="AB50"/>
    </row>
    <row r="51" spans="1:28" ht="25.5" customHeight="1" x14ac:dyDescent="0.2">
      <c r="A51" s="107" t="s">
        <v>69</v>
      </c>
      <c r="B51" s="93"/>
      <c r="C51" s="581" t="s">
        <v>17</v>
      </c>
      <c r="D51" s="470"/>
      <c r="E51" s="470"/>
      <c r="F51" s="470"/>
      <c r="G51" s="470"/>
      <c r="H51" s="470"/>
      <c r="I51" s="470"/>
      <c r="J51" s="470"/>
      <c r="K51" s="470"/>
      <c r="L51" s="470"/>
      <c r="M51" s="470"/>
      <c r="N51" s="470"/>
      <c r="O51" s="345"/>
      <c r="Q51" s="359"/>
      <c r="R51"/>
      <c r="U51"/>
      <c r="V51"/>
      <c r="W51"/>
      <c r="X51"/>
      <c r="Y51"/>
      <c r="Z51"/>
      <c r="AA51"/>
      <c r="AB51"/>
    </row>
    <row r="52" spans="1:28" ht="21.75" customHeight="1" x14ac:dyDescent="0.25">
      <c r="A52" s="106">
        <v>1</v>
      </c>
      <c r="B52" s="93"/>
      <c r="C52" s="100" t="s">
        <v>264</v>
      </c>
      <c r="D52" s="576" t="s">
        <v>74</v>
      </c>
      <c r="E52" s="577"/>
      <c r="F52" s="577"/>
      <c r="G52" s="577"/>
      <c r="H52" s="577"/>
      <c r="I52" s="577"/>
      <c r="J52" s="577"/>
      <c r="K52" s="577"/>
      <c r="L52" s="577"/>
      <c r="M52" s="577"/>
      <c r="N52" s="578"/>
      <c r="O52" s="101" t="s">
        <v>265</v>
      </c>
      <c r="P52" s="101" t="s">
        <v>266</v>
      </c>
      <c r="Q52" s="173"/>
      <c r="R52"/>
      <c r="U52"/>
      <c r="V52"/>
      <c r="W52"/>
      <c r="X52"/>
      <c r="Y52"/>
      <c r="Z52"/>
      <c r="AA52"/>
      <c r="AB52"/>
    </row>
    <row r="53" spans="1:28" ht="34.5" customHeight="1" x14ac:dyDescent="0.2">
      <c r="A53" s="106">
        <v>1</v>
      </c>
      <c r="C53" s="94" t="s">
        <v>232</v>
      </c>
      <c r="D53" s="601" t="s">
        <v>279</v>
      </c>
      <c r="E53" s="595"/>
      <c r="F53" s="595"/>
      <c r="G53" s="595"/>
      <c r="H53" s="595"/>
      <c r="I53" s="595"/>
      <c r="J53" s="595"/>
      <c r="K53" s="595"/>
      <c r="L53" s="595"/>
      <c r="M53" s="595"/>
      <c r="N53" s="595"/>
      <c r="O53" s="71"/>
      <c r="P53" s="95" t="str">
        <f t="shared" ref="P53:P60" si="4">IF(O53="","",IF(O53="Yes","Pass",IF(O53="No","Fail","N/A")))</f>
        <v/>
      </c>
      <c r="Q53" s="173"/>
      <c r="R53"/>
      <c r="U53"/>
      <c r="V53"/>
      <c r="W53"/>
      <c r="X53"/>
      <c r="Y53"/>
      <c r="Z53"/>
      <c r="AA53"/>
      <c r="AB53"/>
    </row>
    <row r="54" spans="1:28" ht="60.75" customHeight="1" x14ac:dyDescent="0.2">
      <c r="A54" s="106">
        <v>1</v>
      </c>
      <c r="C54" s="94" t="s">
        <v>233</v>
      </c>
      <c r="D54" s="601" t="s">
        <v>457</v>
      </c>
      <c r="E54" s="605"/>
      <c r="F54" s="605"/>
      <c r="G54" s="605"/>
      <c r="H54" s="605"/>
      <c r="I54" s="605"/>
      <c r="J54" s="605"/>
      <c r="K54" s="605"/>
      <c r="L54" s="605"/>
      <c r="M54" s="605"/>
      <c r="N54" s="606"/>
      <c r="O54" s="71"/>
      <c r="P54" s="95" t="str">
        <f t="shared" si="4"/>
        <v/>
      </c>
      <c r="Q54" s="173"/>
      <c r="R54"/>
      <c r="U54"/>
      <c r="V54"/>
      <c r="W54"/>
      <c r="X54"/>
      <c r="Y54"/>
      <c r="Z54"/>
      <c r="AA54"/>
      <c r="AB54"/>
    </row>
    <row r="55" spans="1:28" ht="38.25" customHeight="1" x14ac:dyDescent="0.2">
      <c r="A55" s="106">
        <v>1</v>
      </c>
      <c r="B55" s="107" t="s">
        <v>70</v>
      </c>
      <c r="C55" s="94" t="s">
        <v>458</v>
      </c>
      <c r="D55" s="602" t="s">
        <v>454</v>
      </c>
      <c r="E55" s="603"/>
      <c r="F55" s="603"/>
      <c r="G55" s="603"/>
      <c r="H55" s="603"/>
      <c r="I55" s="603"/>
      <c r="J55" s="603"/>
      <c r="K55" s="603"/>
      <c r="L55" s="603"/>
      <c r="M55" s="603"/>
      <c r="N55" s="604"/>
      <c r="O55" s="71"/>
      <c r="P55" s="95" t="str">
        <f t="shared" si="4"/>
        <v/>
      </c>
      <c r="Q55" s="173"/>
      <c r="R55"/>
      <c r="U55"/>
      <c r="V55"/>
      <c r="W55"/>
      <c r="X55"/>
      <c r="Y55"/>
      <c r="Z55"/>
      <c r="AA55"/>
      <c r="AB55"/>
    </row>
    <row r="56" spans="1:28" ht="68.25" customHeight="1" x14ac:dyDescent="0.2">
      <c r="A56" s="107" t="s">
        <v>73</v>
      </c>
      <c r="C56" s="94" t="s">
        <v>234</v>
      </c>
      <c r="D56" s="594" t="s">
        <v>541</v>
      </c>
      <c r="E56" s="595"/>
      <c r="F56" s="595"/>
      <c r="G56" s="595"/>
      <c r="H56" s="595"/>
      <c r="I56" s="595"/>
      <c r="J56" s="595"/>
      <c r="K56" s="595"/>
      <c r="L56" s="595"/>
      <c r="M56" s="595"/>
      <c r="N56" s="596"/>
      <c r="O56" s="71"/>
      <c r="P56" s="95" t="str">
        <f t="shared" si="4"/>
        <v/>
      </c>
      <c r="Q56" s="173"/>
      <c r="R56"/>
      <c r="U56"/>
      <c r="V56"/>
      <c r="W56"/>
      <c r="X56"/>
      <c r="Y56"/>
      <c r="Z56"/>
      <c r="AA56"/>
      <c r="AB56"/>
    </row>
    <row r="57" spans="1:28" ht="31.5" customHeight="1" x14ac:dyDescent="0.2">
      <c r="B57" s="93"/>
      <c r="C57" s="94" t="s">
        <v>235</v>
      </c>
      <c r="D57" s="602" t="s">
        <v>459</v>
      </c>
      <c r="E57" s="603"/>
      <c r="F57" s="603"/>
      <c r="G57" s="603"/>
      <c r="H57" s="603"/>
      <c r="I57" s="603"/>
      <c r="J57" s="603"/>
      <c r="K57" s="603"/>
      <c r="L57" s="603"/>
      <c r="M57" s="603"/>
      <c r="N57" s="604"/>
      <c r="O57" s="71"/>
      <c r="P57" s="95" t="str">
        <f t="shared" si="4"/>
        <v/>
      </c>
      <c r="Q57" s="173"/>
      <c r="R57"/>
      <c r="U57"/>
      <c r="V57"/>
      <c r="W57"/>
      <c r="X57"/>
      <c r="Y57"/>
      <c r="Z57"/>
      <c r="AA57"/>
      <c r="AB57"/>
    </row>
    <row r="58" spans="1:28" ht="40.5" customHeight="1" x14ac:dyDescent="0.2">
      <c r="C58" s="104" t="s">
        <v>460</v>
      </c>
      <c r="D58" s="597" t="s">
        <v>455</v>
      </c>
      <c r="E58" s="595"/>
      <c r="F58" s="595"/>
      <c r="G58" s="595"/>
      <c r="H58" s="595"/>
      <c r="I58" s="595"/>
      <c r="J58" s="595"/>
      <c r="K58" s="595"/>
      <c r="L58" s="595"/>
      <c r="M58" s="595"/>
      <c r="N58" s="596"/>
      <c r="O58" s="71"/>
      <c r="P58" s="95" t="str">
        <f t="shared" si="4"/>
        <v/>
      </c>
      <c r="Q58" s="173"/>
      <c r="R58"/>
      <c r="U58"/>
      <c r="V58"/>
      <c r="W58"/>
      <c r="X58"/>
      <c r="Y58"/>
      <c r="Z58"/>
      <c r="AA58"/>
      <c r="AB58"/>
    </row>
    <row r="59" spans="1:28" ht="30" customHeight="1" x14ac:dyDescent="0.2">
      <c r="A59" s="107" t="s">
        <v>70</v>
      </c>
      <c r="C59" s="104" t="s">
        <v>236</v>
      </c>
      <c r="D59" s="598" t="s">
        <v>456</v>
      </c>
      <c r="E59" s="599"/>
      <c r="F59" s="599"/>
      <c r="G59" s="599"/>
      <c r="H59" s="599"/>
      <c r="I59" s="599"/>
      <c r="J59" s="599"/>
      <c r="K59" s="599"/>
      <c r="L59" s="599"/>
      <c r="M59" s="599"/>
      <c r="N59" s="600"/>
      <c r="O59" s="71"/>
      <c r="P59" s="95" t="str">
        <f t="shared" si="4"/>
        <v/>
      </c>
      <c r="Q59" s="173"/>
      <c r="R59"/>
      <c r="U59"/>
      <c r="V59"/>
      <c r="W59"/>
      <c r="X59"/>
      <c r="Y59"/>
      <c r="Z59"/>
      <c r="AA59"/>
      <c r="AB59"/>
    </row>
    <row r="60" spans="1:28" ht="30" customHeight="1" x14ac:dyDescent="0.2">
      <c r="A60" s="107" t="s">
        <v>70</v>
      </c>
      <c r="B60" s="93"/>
      <c r="C60" s="104" t="s">
        <v>237</v>
      </c>
      <c r="D60" s="598" t="s">
        <v>280</v>
      </c>
      <c r="E60" s="599"/>
      <c r="F60" s="599"/>
      <c r="G60" s="599"/>
      <c r="H60" s="599"/>
      <c r="I60" s="599"/>
      <c r="J60" s="599"/>
      <c r="K60" s="599"/>
      <c r="L60" s="599"/>
      <c r="M60" s="599"/>
      <c r="N60" s="600"/>
      <c r="O60" s="71"/>
      <c r="P60" s="95" t="str">
        <f t="shared" si="4"/>
        <v/>
      </c>
      <c r="Q60" s="171"/>
      <c r="R60"/>
      <c r="U60"/>
      <c r="V60"/>
      <c r="W60"/>
      <c r="X60"/>
      <c r="Y60"/>
      <c r="Z60"/>
      <c r="AA60"/>
      <c r="AB60"/>
    </row>
    <row r="61" spans="1:28" ht="22.5" customHeight="1" x14ac:dyDescent="0.2">
      <c r="A61" s="107" t="s">
        <v>69</v>
      </c>
      <c r="B61" s="107" t="s">
        <v>69</v>
      </c>
      <c r="C61" s="580" t="s">
        <v>281</v>
      </c>
      <c r="D61" s="470"/>
      <c r="E61" s="470"/>
      <c r="F61" s="470"/>
      <c r="G61" s="470"/>
      <c r="H61" s="470"/>
      <c r="I61" s="470"/>
      <c r="J61" s="470"/>
      <c r="K61" s="470"/>
      <c r="L61" s="470"/>
      <c r="M61" s="470"/>
      <c r="N61" s="470"/>
      <c r="O61" s="347"/>
      <c r="P61" s="345"/>
      <c r="Q61" s="172"/>
      <c r="R61"/>
      <c r="U61"/>
      <c r="V61"/>
      <c r="W61"/>
      <c r="X61"/>
      <c r="Y61"/>
      <c r="Z61"/>
      <c r="AA61"/>
      <c r="AB61"/>
    </row>
    <row r="62" spans="1:28" ht="28.5" customHeight="1" x14ac:dyDescent="0.2">
      <c r="A62" s="107"/>
      <c r="B62" s="147"/>
      <c r="C62" s="581" t="s">
        <v>17</v>
      </c>
      <c r="D62" s="470"/>
      <c r="E62" s="470"/>
      <c r="F62" s="470"/>
      <c r="G62" s="470"/>
      <c r="H62" s="470"/>
      <c r="I62" s="470"/>
      <c r="J62" s="470"/>
      <c r="K62" s="470"/>
      <c r="L62" s="470"/>
      <c r="M62" s="470"/>
      <c r="N62" s="470"/>
      <c r="O62" s="345"/>
      <c r="Q62" s="171"/>
      <c r="R62"/>
      <c r="U62"/>
      <c r="V62"/>
      <c r="W62"/>
      <c r="X62"/>
      <c r="Y62"/>
      <c r="Z62"/>
      <c r="AA62"/>
      <c r="AB62"/>
    </row>
    <row r="63" spans="1:28" ht="30" customHeight="1" x14ac:dyDescent="0.25">
      <c r="A63" s="107" t="s">
        <v>70</v>
      </c>
      <c r="B63" s="93"/>
      <c r="C63" s="100" t="s">
        <v>264</v>
      </c>
      <c r="D63" s="573" t="s">
        <v>75</v>
      </c>
      <c r="E63" s="574"/>
      <c r="F63" s="574"/>
      <c r="G63" s="574"/>
      <c r="H63" s="574"/>
      <c r="I63" s="574"/>
      <c r="J63" s="574"/>
      <c r="K63" s="574"/>
      <c r="L63" s="574"/>
      <c r="M63" s="574"/>
      <c r="N63" s="440"/>
      <c r="O63" s="101" t="s">
        <v>265</v>
      </c>
      <c r="P63" s="101" t="s">
        <v>266</v>
      </c>
      <c r="Q63" s="359"/>
      <c r="R63"/>
      <c r="U63"/>
      <c r="V63"/>
      <c r="W63"/>
      <c r="X63"/>
      <c r="Y63"/>
      <c r="Z63"/>
      <c r="AA63"/>
      <c r="AB63"/>
    </row>
    <row r="64" spans="1:28" ht="30" customHeight="1" x14ac:dyDescent="0.2">
      <c r="A64" s="107" t="s">
        <v>70</v>
      </c>
      <c r="B64" s="93"/>
      <c r="C64" s="94" t="s">
        <v>239</v>
      </c>
      <c r="D64" s="567" t="s">
        <v>461</v>
      </c>
      <c r="E64" s="470"/>
      <c r="F64" s="470"/>
      <c r="G64" s="470"/>
      <c r="H64" s="470"/>
      <c r="I64" s="470"/>
      <c r="J64" s="470"/>
      <c r="K64" s="470"/>
      <c r="L64" s="470"/>
      <c r="M64" s="470"/>
      <c r="N64" s="471"/>
      <c r="O64" s="71"/>
      <c r="P64" s="95" t="str">
        <f t="shared" ref="P64:P69" si="5">IF(O64="","",IF(O64="Yes","Pass",IF(O64="No","Fail","N/A")))</f>
        <v/>
      </c>
      <c r="Q64" s="173"/>
      <c r="R64"/>
      <c r="U64"/>
      <c r="V64"/>
      <c r="W64"/>
      <c r="X64"/>
      <c r="Y64"/>
      <c r="Z64"/>
      <c r="AA64"/>
      <c r="AB64"/>
    </row>
    <row r="65" spans="1:28" ht="33.75" customHeight="1" x14ac:dyDescent="0.2">
      <c r="A65" s="107" t="s">
        <v>76</v>
      </c>
      <c r="B65" s="93"/>
      <c r="C65" s="94" t="s">
        <v>240</v>
      </c>
      <c r="D65" s="567" t="s">
        <v>282</v>
      </c>
      <c r="E65" s="470"/>
      <c r="F65" s="470"/>
      <c r="G65" s="470"/>
      <c r="H65" s="470"/>
      <c r="I65" s="470"/>
      <c r="J65" s="470"/>
      <c r="K65" s="470"/>
      <c r="L65" s="470"/>
      <c r="M65" s="470"/>
      <c r="N65" s="471"/>
      <c r="O65" s="71"/>
      <c r="P65" s="95" t="str">
        <f t="shared" si="5"/>
        <v/>
      </c>
      <c r="Q65" s="173"/>
      <c r="R65"/>
      <c r="U65"/>
      <c r="V65"/>
      <c r="W65"/>
      <c r="X65"/>
      <c r="Y65"/>
      <c r="Z65"/>
      <c r="AA65"/>
      <c r="AB65"/>
    </row>
    <row r="66" spans="1:28" ht="49.5" customHeight="1" x14ac:dyDescent="0.2">
      <c r="A66" s="106">
        <v>1</v>
      </c>
      <c r="B66" s="93"/>
      <c r="C66" s="94" t="s">
        <v>241</v>
      </c>
      <c r="D66" s="567" t="s">
        <v>462</v>
      </c>
      <c r="E66" s="470"/>
      <c r="F66" s="470"/>
      <c r="G66" s="470"/>
      <c r="H66" s="470"/>
      <c r="I66" s="470"/>
      <c r="J66" s="470"/>
      <c r="K66" s="470"/>
      <c r="L66" s="470"/>
      <c r="M66" s="470"/>
      <c r="N66" s="471"/>
      <c r="O66" s="71"/>
      <c r="P66" s="95" t="str">
        <f t="shared" si="5"/>
        <v/>
      </c>
      <c r="Q66" s="173"/>
      <c r="R66"/>
      <c r="U66"/>
      <c r="V66"/>
      <c r="W66"/>
      <c r="X66"/>
      <c r="Y66"/>
      <c r="Z66"/>
      <c r="AA66"/>
      <c r="AB66"/>
    </row>
    <row r="67" spans="1:28" ht="35.25" customHeight="1" x14ac:dyDescent="0.2">
      <c r="A67" s="107" t="s">
        <v>73</v>
      </c>
      <c r="C67" s="148" t="s">
        <v>542</v>
      </c>
      <c r="D67" s="593" t="s">
        <v>464</v>
      </c>
      <c r="E67" s="470"/>
      <c r="F67" s="470"/>
      <c r="G67" s="470"/>
      <c r="H67" s="470"/>
      <c r="I67" s="470"/>
      <c r="J67" s="470"/>
      <c r="K67" s="470"/>
      <c r="L67" s="470"/>
      <c r="M67" s="470"/>
      <c r="N67" s="470"/>
      <c r="O67" s="71"/>
      <c r="P67" s="95" t="str">
        <f t="shared" si="5"/>
        <v/>
      </c>
      <c r="Q67" s="173"/>
      <c r="R67"/>
      <c r="U67"/>
      <c r="V67"/>
      <c r="W67"/>
      <c r="X67"/>
      <c r="Y67"/>
      <c r="Z67"/>
      <c r="AA67"/>
      <c r="AB67"/>
    </row>
    <row r="68" spans="1:28" ht="36" customHeight="1" x14ac:dyDescent="0.2">
      <c r="B68" s="93"/>
      <c r="C68" s="94" t="s">
        <v>242</v>
      </c>
      <c r="D68" s="469" t="s">
        <v>546</v>
      </c>
      <c r="E68" s="470"/>
      <c r="F68" s="470"/>
      <c r="G68" s="470"/>
      <c r="H68" s="470"/>
      <c r="I68" s="470"/>
      <c r="J68" s="470"/>
      <c r="K68" s="470"/>
      <c r="L68" s="470"/>
      <c r="M68" s="470"/>
      <c r="N68" s="471"/>
      <c r="O68" s="71"/>
      <c r="P68" s="95" t="str">
        <f t="shared" si="5"/>
        <v/>
      </c>
      <c r="Q68" s="173"/>
      <c r="R68"/>
      <c r="U68"/>
      <c r="V68"/>
      <c r="W68"/>
      <c r="X68"/>
      <c r="Y68"/>
      <c r="Z68"/>
      <c r="AA68"/>
      <c r="AB68"/>
    </row>
    <row r="69" spans="1:28" ht="52.5" customHeight="1" x14ac:dyDescent="0.2">
      <c r="C69" s="94" t="s">
        <v>243</v>
      </c>
      <c r="D69" s="469" t="s">
        <v>547</v>
      </c>
      <c r="E69" s="470"/>
      <c r="F69" s="470"/>
      <c r="G69" s="470"/>
      <c r="H69" s="470"/>
      <c r="I69" s="470"/>
      <c r="J69" s="470"/>
      <c r="K69" s="470"/>
      <c r="L69" s="470"/>
      <c r="M69" s="470"/>
      <c r="N69" s="471"/>
      <c r="O69" s="71"/>
      <c r="P69" s="95" t="str">
        <f t="shared" si="5"/>
        <v/>
      </c>
      <c r="Q69" s="173"/>
      <c r="R69"/>
      <c r="U69"/>
      <c r="V69"/>
      <c r="W69"/>
      <c r="X69"/>
      <c r="Y69"/>
      <c r="Z69"/>
      <c r="AA69"/>
      <c r="AB69"/>
    </row>
    <row r="70" spans="1:28" ht="21" customHeight="1" x14ac:dyDescent="0.25">
      <c r="A70" s="107" t="s">
        <v>70</v>
      </c>
      <c r="C70" s="608" t="s">
        <v>283</v>
      </c>
      <c r="D70" s="486"/>
      <c r="E70" s="486"/>
      <c r="F70" s="486"/>
      <c r="G70" s="486"/>
      <c r="H70" s="486"/>
      <c r="I70" s="486"/>
      <c r="J70" s="486"/>
      <c r="K70" s="486"/>
      <c r="L70" s="486"/>
      <c r="M70" s="486"/>
      <c r="N70" s="486"/>
      <c r="O70" s="348"/>
      <c r="P70" s="342"/>
      <c r="Q70" s="173"/>
      <c r="R70"/>
      <c r="U70"/>
      <c r="V70"/>
      <c r="W70"/>
      <c r="X70"/>
      <c r="Y70"/>
      <c r="Z70"/>
      <c r="AA70"/>
      <c r="AB70"/>
    </row>
    <row r="71" spans="1:28" ht="29.25" customHeight="1" x14ac:dyDescent="0.25">
      <c r="A71" s="107" t="s">
        <v>285</v>
      </c>
      <c r="B71" s="93"/>
      <c r="C71" s="581" t="s">
        <v>17</v>
      </c>
      <c r="D71" s="470"/>
      <c r="E71" s="470"/>
      <c r="F71" s="470"/>
      <c r="G71" s="470"/>
      <c r="H71" s="470"/>
      <c r="I71" s="470"/>
      <c r="J71" s="470"/>
      <c r="K71" s="470"/>
      <c r="L71" s="470"/>
      <c r="M71" s="470"/>
      <c r="N71" s="470"/>
      <c r="O71" s="345"/>
      <c r="Q71" s="352"/>
      <c r="R71"/>
      <c r="U71"/>
      <c r="V71"/>
      <c r="W71"/>
      <c r="X71"/>
      <c r="Y71"/>
      <c r="Z71"/>
      <c r="AA71"/>
      <c r="AB71"/>
    </row>
    <row r="72" spans="1:28" ht="21.75" customHeight="1" x14ac:dyDescent="0.25">
      <c r="A72" s="107" t="s">
        <v>76</v>
      </c>
      <c r="B72" s="107" t="s">
        <v>286</v>
      </c>
      <c r="C72" s="100" t="s">
        <v>264</v>
      </c>
      <c r="D72" s="573" t="s">
        <v>77</v>
      </c>
      <c r="E72" s="574"/>
      <c r="F72" s="574"/>
      <c r="G72" s="574"/>
      <c r="H72" s="574"/>
      <c r="I72" s="574"/>
      <c r="J72" s="574"/>
      <c r="K72" s="574"/>
      <c r="L72" s="574"/>
      <c r="M72" s="574"/>
      <c r="N72" s="574"/>
      <c r="O72" s="101" t="s">
        <v>265</v>
      </c>
      <c r="P72" s="101" t="s">
        <v>266</v>
      </c>
      <c r="Q72" s="172"/>
      <c r="R72"/>
      <c r="U72"/>
      <c r="V72"/>
      <c r="W72"/>
      <c r="X72"/>
      <c r="Y72"/>
      <c r="Z72"/>
      <c r="AA72"/>
      <c r="AB72"/>
    </row>
    <row r="73" spans="1:28" ht="36" customHeight="1" x14ac:dyDescent="0.2">
      <c r="A73" s="107" t="s">
        <v>287</v>
      </c>
      <c r="B73" s="107" t="s">
        <v>80</v>
      </c>
      <c r="C73" s="102" t="s">
        <v>245</v>
      </c>
      <c r="D73" s="607" t="s">
        <v>284</v>
      </c>
      <c r="E73" s="470"/>
      <c r="F73" s="470"/>
      <c r="G73" s="470"/>
      <c r="H73" s="470"/>
      <c r="I73" s="470"/>
      <c r="J73" s="470"/>
      <c r="K73" s="470"/>
      <c r="L73" s="470"/>
      <c r="M73" s="470"/>
      <c r="N73" s="470"/>
      <c r="O73" s="71"/>
      <c r="P73" s="95" t="str">
        <f>IF(O73="","",IF(O73="Yes","Fail",IF(O73="No","Pass","N/A")))</f>
        <v/>
      </c>
      <c r="R73"/>
      <c r="U73"/>
      <c r="V73"/>
      <c r="W73"/>
      <c r="X73"/>
      <c r="Y73"/>
      <c r="Z73"/>
      <c r="AA73"/>
      <c r="AB73"/>
    </row>
    <row r="74" spans="1:28" ht="189" customHeight="1" x14ac:dyDescent="0.2">
      <c r="A74" s="107" t="s">
        <v>288</v>
      </c>
      <c r="B74" s="93"/>
      <c r="C74" s="102" t="s">
        <v>246</v>
      </c>
      <c r="D74" s="609" t="s">
        <v>552</v>
      </c>
      <c r="E74" s="470"/>
      <c r="F74" s="470"/>
      <c r="G74" s="470"/>
      <c r="H74" s="470"/>
      <c r="I74" s="470"/>
      <c r="J74" s="470"/>
      <c r="K74" s="470"/>
      <c r="L74" s="470"/>
      <c r="M74" s="470"/>
      <c r="N74" s="470"/>
      <c r="O74" s="71"/>
      <c r="P74" s="95" t="str">
        <f>IF(O74="","",IF(O74="Yes","Fail",IF(O74="No","Pass","N/A")))</f>
        <v/>
      </c>
      <c r="Q74" s="359"/>
      <c r="R74"/>
      <c r="U74"/>
      <c r="V74"/>
      <c r="W74"/>
      <c r="X74"/>
      <c r="Y74"/>
      <c r="Z74"/>
      <c r="AA74"/>
      <c r="AB74"/>
    </row>
    <row r="75" spans="1:28" ht="94.5" customHeight="1" x14ac:dyDescent="0.2">
      <c r="A75" s="107" t="s">
        <v>81</v>
      </c>
      <c r="B75" s="93"/>
      <c r="C75" s="102" t="s">
        <v>247</v>
      </c>
      <c r="D75" s="609" t="s">
        <v>551</v>
      </c>
      <c r="E75" s="470"/>
      <c r="F75" s="470"/>
      <c r="G75" s="470"/>
      <c r="H75" s="470"/>
      <c r="I75" s="470"/>
      <c r="J75" s="470"/>
      <c r="K75" s="470"/>
      <c r="L75" s="470"/>
      <c r="M75" s="470"/>
      <c r="N75" s="470"/>
      <c r="O75" s="71"/>
      <c r="P75" s="95" t="str">
        <f t="shared" ref="P75:P82" si="6">IF(O75="","",IF(O75="Yes","Pass",IF(O75="No","Fail","N/A")))</f>
        <v/>
      </c>
      <c r="Q75" s="173"/>
      <c r="R75"/>
      <c r="U75"/>
      <c r="V75"/>
      <c r="W75"/>
      <c r="X75"/>
      <c r="Y75"/>
      <c r="Z75"/>
      <c r="AA75"/>
      <c r="AB75"/>
    </row>
    <row r="76" spans="1:28" ht="126" customHeight="1" x14ac:dyDescent="0.2">
      <c r="A76" s="107" t="s">
        <v>69</v>
      </c>
      <c r="B76" s="93"/>
      <c r="C76" s="102" t="s">
        <v>248</v>
      </c>
      <c r="D76" s="579" t="s">
        <v>550</v>
      </c>
      <c r="E76" s="572"/>
      <c r="F76" s="572"/>
      <c r="G76" s="572"/>
      <c r="H76" s="572"/>
      <c r="I76" s="572"/>
      <c r="J76" s="572"/>
      <c r="K76" s="572"/>
      <c r="L76" s="572"/>
      <c r="M76" s="572"/>
      <c r="N76" s="572"/>
      <c r="O76" s="71"/>
      <c r="P76" s="95" t="str">
        <f t="shared" si="6"/>
        <v/>
      </c>
      <c r="Q76" s="173"/>
      <c r="R76"/>
      <c r="U76"/>
      <c r="V76"/>
      <c r="W76"/>
      <c r="X76"/>
      <c r="Y76"/>
      <c r="Z76"/>
      <c r="AA76"/>
      <c r="AB76"/>
    </row>
    <row r="77" spans="1:28" ht="78" customHeight="1" x14ac:dyDescent="0.2">
      <c r="A77" s="107" t="s">
        <v>288</v>
      </c>
      <c r="B77" s="93"/>
      <c r="C77" s="102" t="s">
        <v>249</v>
      </c>
      <c r="D77" s="579" t="s">
        <v>289</v>
      </c>
      <c r="E77" s="572"/>
      <c r="F77" s="572"/>
      <c r="G77" s="572"/>
      <c r="H77" s="572"/>
      <c r="I77" s="572"/>
      <c r="J77" s="572"/>
      <c r="K77" s="572"/>
      <c r="L77" s="572"/>
      <c r="M77" s="572"/>
      <c r="N77" s="582"/>
      <c r="O77" s="71"/>
      <c r="P77" s="95" t="str">
        <f t="shared" si="6"/>
        <v/>
      </c>
      <c r="Q77" s="173"/>
      <c r="R77"/>
      <c r="U77"/>
      <c r="V77"/>
      <c r="W77"/>
      <c r="X77"/>
      <c r="Y77"/>
      <c r="Z77"/>
      <c r="AA77"/>
      <c r="AB77"/>
    </row>
    <row r="78" spans="1:28" ht="108.75" customHeight="1" x14ac:dyDescent="0.2">
      <c r="A78" s="107" t="s">
        <v>73</v>
      </c>
      <c r="B78" s="93"/>
      <c r="C78" s="102" t="s">
        <v>250</v>
      </c>
      <c r="D78" s="579" t="s">
        <v>543</v>
      </c>
      <c r="E78" s="572"/>
      <c r="F78" s="572"/>
      <c r="G78" s="572"/>
      <c r="H78" s="572"/>
      <c r="I78" s="572"/>
      <c r="J78" s="572"/>
      <c r="K78" s="572"/>
      <c r="L78" s="572"/>
      <c r="M78" s="572"/>
      <c r="N78" s="582"/>
      <c r="O78" s="71"/>
      <c r="P78" s="95" t="str">
        <f t="shared" si="6"/>
        <v/>
      </c>
      <c r="Q78" s="173"/>
      <c r="R78"/>
      <c r="U78"/>
      <c r="V78"/>
      <c r="W78"/>
      <c r="X78"/>
      <c r="Y78"/>
      <c r="Z78"/>
      <c r="AA78"/>
      <c r="AB78"/>
    </row>
    <row r="79" spans="1:28" ht="36" customHeight="1" x14ac:dyDescent="0.2">
      <c r="A79" s="107" t="s">
        <v>81</v>
      </c>
      <c r="B79" s="93"/>
      <c r="C79" s="102" t="s">
        <v>251</v>
      </c>
      <c r="D79" s="567" t="s">
        <v>290</v>
      </c>
      <c r="E79" s="572"/>
      <c r="F79" s="572"/>
      <c r="G79" s="572"/>
      <c r="H79" s="572"/>
      <c r="I79" s="572"/>
      <c r="J79" s="572"/>
      <c r="K79" s="572"/>
      <c r="L79" s="572"/>
      <c r="M79" s="572"/>
      <c r="N79" s="582"/>
      <c r="O79" s="71"/>
      <c r="P79" s="95" t="str">
        <f t="shared" si="6"/>
        <v/>
      </c>
      <c r="Q79" s="173"/>
      <c r="R79"/>
      <c r="U79"/>
      <c r="V79"/>
      <c r="W79"/>
      <c r="X79"/>
      <c r="Y79"/>
      <c r="Z79"/>
      <c r="AA79"/>
      <c r="AB79"/>
    </row>
    <row r="80" spans="1:28" ht="91.5" customHeight="1" x14ac:dyDescent="0.2">
      <c r="A80" s="107" t="s">
        <v>81</v>
      </c>
      <c r="B80" s="93"/>
      <c r="C80" s="102" t="s">
        <v>252</v>
      </c>
      <c r="D80" s="579" t="s">
        <v>549</v>
      </c>
      <c r="E80" s="572"/>
      <c r="F80" s="572"/>
      <c r="G80" s="572"/>
      <c r="H80" s="572"/>
      <c r="I80" s="572"/>
      <c r="J80" s="572"/>
      <c r="K80" s="572"/>
      <c r="L80" s="572"/>
      <c r="M80" s="572"/>
      <c r="N80" s="582"/>
      <c r="O80" s="71"/>
      <c r="P80" s="95" t="str">
        <f t="shared" si="6"/>
        <v/>
      </c>
      <c r="Q80" s="173"/>
      <c r="R80"/>
      <c r="U80"/>
      <c r="V80"/>
      <c r="W80"/>
      <c r="X80"/>
      <c r="Y80"/>
      <c r="Z80"/>
      <c r="AA80"/>
      <c r="AB80"/>
    </row>
    <row r="81" spans="1:18" ht="61.5" customHeight="1" x14ac:dyDescent="0.2">
      <c r="A81" s="107" t="s">
        <v>288</v>
      </c>
      <c r="B81" s="93"/>
      <c r="C81" s="102" t="s">
        <v>253</v>
      </c>
      <c r="D81" s="579" t="s">
        <v>291</v>
      </c>
      <c r="E81" s="572"/>
      <c r="F81" s="572"/>
      <c r="G81" s="572"/>
      <c r="H81" s="572"/>
      <c r="I81" s="572"/>
      <c r="J81" s="572"/>
      <c r="K81" s="572"/>
      <c r="L81" s="572"/>
      <c r="M81" s="572"/>
      <c r="N81" s="582"/>
      <c r="O81" s="71"/>
      <c r="P81" s="95" t="str">
        <f t="shared" si="6"/>
        <v/>
      </c>
      <c r="Q81"/>
      <c r="R81"/>
    </row>
    <row r="82" spans="1:18" ht="78.75" customHeight="1" x14ac:dyDescent="0.2">
      <c r="A82" s="106">
        <v>1</v>
      </c>
      <c r="B82" s="93"/>
      <c r="C82" s="102" t="s">
        <v>254</v>
      </c>
      <c r="D82" s="609" t="s">
        <v>548</v>
      </c>
      <c r="E82" s="470"/>
      <c r="F82" s="470"/>
      <c r="G82" s="470"/>
      <c r="H82" s="470"/>
      <c r="I82" s="470"/>
      <c r="J82" s="470"/>
      <c r="K82" s="470"/>
      <c r="L82" s="470"/>
      <c r="M82" s="470"/>
      <c r="N82" s="471"/>
      <c r="O82" s="71"/>
      <c r="P82" s="95" t="str">
        <f t="shared" si="6"/>
        <v/>
      </c>
      <c r="Q82"/>
      <c r="R82"/>
    </row>
    <row r="83" spans="1:18" ht="20.25" customHeight="1" x14ac:dyDescent="0.2">
      <c r="A83" s="107" t="s">
        <v>73</v>
      </c>
      <c r="C83" s="469" t="s">
        <v>292</v>
      </c>
      <c r="D83" s="470"/>
      <c r="E83" s="470"/>
      <c r="F83" s="470"/>
      <c r="G83" s="470"/>
      <c r="H83" s="470"/>
      <c r="I83" s="470"/>
      <c r="J83" s="470"/>
      <c r="K83" s="470"/>
      <c r="L83" s="470"/>
      <c r="M83" s="470"/>
      <c r="N83" s="470"/>
      <c r="O83" s="346"/>
      <c r="P83" s="95"/>
      <c r="Q83"/>
      <c r="R83"/>
    </row>
    <row r="84" spans="1:18" ht="21" customHeight="1" x14ac:dyDescent="0.2">
      <c r="B84" s="93"/>
      <c r="C84" s="581" t="s">
        <v>17</v>
      </c>
      <c r="D84" s="470"/>
      <c r="E84" s="470"/>
      <c r="F84" s="470"/>
      <c r="G84" s="470"/>
      <c r="H84" s="470"/>
      <c r="I84" s="470"/>
      <c r="J84" s="470"/>
      <c r="K84" s="470"/>
      <c r="L84" s="470"/>
      <c r="M84" s="470"/>
      <c r="N84" s="470"/>
      <c r="O84" s="345"/>
      <c r="P84" s="346"/>
      <c r="Q84"/>
      <c r="R84"/>
    </row>
    <row r="85" spans="1:18" ht="18" x14ac:dyDescent="0.2">
      <c r="P85" s="345"/>
      <c r="Q85" s="173"/>
      <c r="R85" s="173"/>
    </row>
    <row r="86" spans="1:18" ht="18" x14ac:dyDescent="0.2">
      <c r="P86" s="105"/>
      <c r="Q86" s="173"/>
      <c r="R86" s="173"/>
    </row>
    <row r="87" spans="1:18" x14ac:dyDescent="0.2">
      <c r="P87" s="105"/>
      <c r="Q87" s="105"/>
      <c r="R87" s="105"/>
    </row>
    <row r="88" spans="1:18" x14ac:dyDescent="0.2">
      <c r="Q88" s="105"/>
      <c r="R88" s="105"/>
    </row>
    <row r="89" spans="1:18" x14ac:dyDescent="0.2">
      <c r="Q89" s="105"/>
      <c r="R89" s="105"/>
    </row>
    <row r="90" spans="1:18" x14ac:dyDescent="0.2">
      <c r="Q90" s="105"/>
      <c r="R90" s="105"/>
    </row>
  </sheetData>
  <sheetProtection algorithmName="SHA-512" hashValue="IW/KP4f/LE+30FyEGuCPkHoYlp04+Ook+q53Ttw/PZtqfVp7QgKcRHHz0GNKevShdmy+nQlyKIGY9qQnvvlkeQ==" saltValue="WAl1B9bu0k9wQND+By0lkg==" spinCount="100000" sheet="1" objects="1" scenarios="1"/>
  <mergeCells count="83">
    <mergeCell ref="C84:N84"/>
    <mergeCell ref="D69:N69"/>
    <mergeCell ref="C70:N70"/>
    <mergeCell ref="C71:N71"/>
    <mergeCell ref="D82:N82"/>
    <mergeCell ref="C83:N83"/>
    <mergeCell ref="D76:N76"/>
    <mergeCell ref="D37:N37"/>
    <mergeCell ref="D49:N49"/>
    <mergeCell ref="C50:N50"/>
    <mergeCell ref="C51:N51"/>
    <mergeCell ref="D60:N60"/>
    <mergeCell ref="D41:N41"/>
    <mergeCell ref="D47:N47"/>
    <mergeCell ref="D48:N48"/>
    <mergeCell ref="D42:N42"/>
    <mergeCell ref="D40:N40"/>
    <mergeCell ref="D58:N58"/>
    <mergeCell ref="D56:N56"/>
    <mergeCell ref="D57:N57"/>
    <mergeCell ref="C28:N28"/>
    <mergeCell ref="D33:N33"/>
    <mergeCell ref="C34:N34"/>
    <mergeCell ref="C35:N35"/>
    <mergeCell ref="D31:N31"/>
    <mergeCell ref="D15:N15"/>
    <mergeCell ref="D16:N16"/>
    <mergeCell ref="D17:N17"/>
    <mergeCell ref="D22:N22"/>
    <mergeCell ref="C27:N27"/>
    <mergeCell ref="C2:G2"/>
    <mergeCell ref="D14:N14"/>
    <mergeCell ref="D8:N8"/>
    <mergeCell ref="D9:N9"/>
    <mergeCell ref="D10:N10"/>
    <mergeCell ref="D11:N11"/>
    <mergeCell ref="D12:N12"/>
    <mergeCell ref="D13:N13"/>
    <mergeCell ref="E5:G5"/>
    <mergeCell ref="D65:N65"/>
    <mergeCell ref="D32:N32"/>
    <mergeCell ref="D36:N36"/>
    <mergeCell ref="D24:N24"/>
    <mergeCell ref="D25:N25"/>
    <mergeCell ref="D63:N63"/>
    <mergeCell ref="D55:N55"/>
    <mergeCell ref="D39:N39"/>
    <mergeCell ref="D30:N30"/>
    <mergeCell ref="D43:N43"/>
    <mergeCell ref="D44:N44"/>
    <mergeCell ref="D52:N52"/>
    <mergeCell ref="D64:N64"/>
    <mergeCell ref="D59:N59"/>
    <mergeCell ref="D53:N53"/>
    <mergeCell ref="D54:N54"/>
    <mergeCell ref="C61:N61"/>
    <mergeCell ref="C62:N62"/>
    <mergeCell ref="S1:U1"/>
    <mergeCell ref="T4:U4"/>
    <mergeCell ref="D18:N18"/>
    <mergeCell ref="K1:L1"/>
    <mergeCell ref="D19:N19"/>
    <mergeCell ref="C20:N20"/>
    <mergeCell ref="C21:N21"/>
    <mergeCell ref="D23:N23"/>
    <mergeCell ref="D45:N45"/>
    <mergeCell ref="D46:N46"/>
    <mergeCell ref="D29:N29"/>
    <mergeCell ref="D26:N26"/>
    <mergeCell ref="K2:L2"/>
    <mergeCell ref="C1:G1"/>
    <mergeCell ref="D66:N66"/>
    <mergeCell ref="D67:N67"/>
    <mergeCell ref="D81:N81"/>
    <mergeCell ref="D78:N78"/>
    <mergeCell ref="D77:N77"/>
    <mergeCell ref="D79:N79"/>
    <mergeCell ref="D68:N68"/>
    <mergeCell ref="D72:N72"/>
    <mergeCell ref="D73:N73"/>
    <mergeCell ref="D74:N74"/>
    <mergeCell ref="D75:N75"/>
    <mergeCell ref="D80:N80"/>
  </mergeCells>
  <conditionalFormatting sqref="M5">
    <cfRule type="containsText" dxfId="49" priority="4" operator="containsText" text="Fail">
      <formula>NOT(ISERROR(SEARCH("Fail",M5)))</formula>
    </cfRule>
  </conditionalFormatting>
  <conditionalFormatting sqref="P8:R19 P20 P22:R26 P29:R33 Q34:Q46 P36:P37 P39:P49 Q51:Q59 P52:P60 P63:P69 Q63:Q70 P72:P83 Q74:Q80">
    <cfRule type="containsText" dxfId="48" priority="1" operator="containsText" text="Fail">
      <formula>NOT(ISERROR(SEARCH("Fail",P8)))</formula>
    </cfRule>
  </conditionalFormatting>
  <conditionalFormatting sqref="Q85:R86">
    <cfRule type="containsText" dxfId="47" priority="6" operator="containsText" text="Fail">
      <formula>NOT(ISERROR(SEARCH("Fail",Q85)))</formula>
    </cfRule>
  </conditionalFormatting>
  <conditionalFormatting sqref="U1:U3 T4">
    <cfRule type="containsText" dxfId="46" priority="2" operator="containsText" text="Fail">
      <formula>NOT(ISERROR(SEARCH("Fail",T1)))</formula>
    </cfRule>
  </conditionalFormatting>
  <conditionalFormatting sqref="AE9">
    <cfRule type="containsText" dxfId="45" priority="5" operator="containsText" text="Fail">
      <formula>NOT(ISERROR(SEARCH("Fail",AE9)))</formula>
    </cfRule>
  </conditionalFormatting>
  <dataValidations count="4">
    <dataValidation type="whole" operator="greaterThan" allowBlank="1" showInputMessage="1" showErrorMessage="1" sqref="X9:X34" xr:uid="{E1591F96-5A8E-4848-9E63-00ACFB29222D}">
      <formula1>0</formula1>
    </dataValidation>
    <dataValidation type="date" operator="greaterThan" allowBlank="1" showInputMessage="1" showErrorMessage="1" sqref="W9:W34" xr:uid="{B7D506C5-7FB8-47DE-8C1B-429870252868}">
      <formula1>36526</formula1>
    </dataValidation>
    <dataValidation type="list" showErrorMessage="1" errorTitle="Invalid Selection" error="Select either Yes, No, or N/A from the dropdown list. Click &quot;Cancel&quot; below, then update selection." sqref="O73:O82 O23:O26 O53:O60 O39:O49 O64:O69 O37 O30:O33 O9:O19" xr:uid="{4D377D00-CF5E-42D9-84E0-5B2D6A0D3A50}">
      <formula1>"Yes,No,N/A"</formula1>
    </dataValidation>
    <dataValidation type="decimal" operator="greaterThanOrEqual" allowBlank="1" showInputMessage="1" showErrorMessage="1" errorTitle="Input Error" error="Insert the claimed amount with dollars and cents in $0.00 format. Click &quot;Cancel&quot; below and try again." sqref="Y9:Y34" xr:uid="{4801E2A0-C763-4D53-BF52-7D03FE120CA3}">
      <formula1>0</formula1>
    </dataValidation>
  </dataValidations>
  <pageMargins left="0.7" right="0.7" top="1" bottom="0.75" header="0.3" footer="0.3"/>
  <pageSetup scale="70" fitToHeight="0" orientation="portrait" r:id="rId1"/>
  <headerFooter>
    <oddHeader>&amp;CConfidential QI Report
San Diego County Mental Health Plan
Behavioral Health Services
Fiscal Year 23-24</oddHeader>
    <oddFooter>&amp;LFY 23-24 Medical Record Review Report - Excel - Rev. 7-1-23</oddFooter>
  </headerFooter>
  <colBreaks count="1" manualBreakCount="1">
    <brk id="16" max="84"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D1F31CBA-11D6-4A77-9FAB-1F96E8D62DF6}">
          <x14:formula1>
            <xm:f>Validations!$E$4:$E$15</xm:f>
          </x14:formula1>
          <xm:sqref>Z9:Z34</xm:sqref>
        </x14:dataValidation>
        <x14:dataValidation type="list" allowBlank="1" showInputMessage="1" showErrorMessage="1" xr:uid="{2126AFD2-AF26-4D60-A1E2-A22223388821}">
          <x14:formula1>
            <xm:f>Validations!$D$4:$D$7</xm:f>
          </x14:formula1>
          <xm:sqref>AA9:AA34</xm:sqref>
        </x14:dataValidation>
        <x14:dataValidation type="list" allowBlank="1" showInputMessage="1" showErrorMessage="1" xr:uid="{DE866BD8-136A-4E35-96C3-8746C351D1CE}">
          <x14:formula1>
            <xm:f>Validations!$C$4:$C$54</xm:f>
          </x14:formula1>
          <xm:sqref>V9:V34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F9DAD-52B4-402C-BB0C-A75D1C66A11C}">
  <sheetPr codeName="Sheet14">
    <tabColor theme="3" tint="0.39997558519241921"/>
  </sheetPr>
  <dimension ref="A1:AE90"/>
  <sheetViews>
    <sheetView showGridLines="0" view="pageBreakPreview" zoomScale="92" zoomScaleNormal="80" zoomScaleSheetLayoutView="92" workbookViewId="0">
      <selection activeCell="D12" sqref="D12:N12"/>
    </sheetView>
  </sheetViews>
  <sheetFormatPr defaultColWidth="9.5703125" defaultRowHeight="15" x14ac:dyDescent="0.2"/>
  <cols>
    <col min="1" max="1" width="7.7109375" style="106" customWidth="1"/>
    <col min="2" max="2" width="8.42578125" style="4" customWidth="1"/>
    <col min="3" max="3" width="8.42578125" style="5" customWidth="1"/>
    <col min="4" max="4" width="2.5703125" style="1" customWidth="1"/>
    <col min="5" max="5" width="7.140625" style="1" customWidth="1"/>
    <col min="6" max="6" width="8.5703125" style="1" customWidth="1"/>
    <col min="7" max="7" width="6.42578125" style="1" customWidth="1"/>
    <col min="8" max="8" width="4.7109375" style="1" customWidth="1"/>
    <col min="9" max="9" width="27.28515625" style="1" customWidth="1"/>
    <col min="10" max="10" width="2.5703125" style="1" customWidth="1"/>
    <col min="11" max="11" width="18.140625" style="1" customWidth="1"/>
    <col min="12" max="12" width="3.42578125" style="1" customWidth="1"/>
    <col min="13" max="13" width="12.140625" style="1" customWidth="1"/>
    <col min="14" max="14" width="9.5703125" style="1" customWidth="1"/>
    <col min="15" max="15" width="13.28515625" style="1" customWidth="1"/>
    <col min="16" max="16" width="8.7109375" style="1" hidden="1" customWidth="1"/>
    <col min="17" max="18" width="2.140625" style="1" customWidth="1"/>
    <col min="19" max="19" width="11.7109375" customWidth="1"/>
    <col min="20" max="20" width="9.140625" customWidth="1"/>
    <col min="21" max="21" width="13.42578125" style="1" customWidth="1"/>
    <col min="22" max="22" width="23.42578125" style="1" customWidth="1"/>
    <col min="23" max="23" width="12.42578125" style="1" customWidth="1"/>
    <col min="24" max="25" width="9.5703125" style="1"/>
    <col min="26" max="26" width="12.140625" style="1" customWidth="1"/>
    <col min="27" max="27" width="13.85546875" style="1" customWidth="1"/>
    <col min="28" max="28" width="23.5703125" style="1" customWidth="1"/>
    <col min="29" max="16384" width="9.5703125" style="1"/>
  </cols>
  <sheetData>
    <row r="1" spans="1:31" s="5" customFormat="1" ht="15.75" x14ac:dyDescent="0.25">
      <c r="A1" s="106"/>
      <c r="B1" s="4"/>
      <c r="C1" s="560" t="s">
        <v>338</v>
      </c>
      <c r="D1" s="561"/>
      <c r="E1" s="561"/>
      <c r="F1" s="561"/>
      <c r="G1" s="562"/>
      <c r="H1"/>
      <c r="I1" s="86" t="s">
        <v>38</v>
      </c>
      <c r="J1" s="153"/>
      <c r="K1" s="560" t="s">
        <v>12</v>
      </c>
      <c r="L1" s="562"/>
      <c r="N1"/>
      <c r="O1"/>
      <c r="P1"/>
      <c r="Q1"/>
      <c r="R1"/>
      <c r="S1" s="560" t="s">
        <v>260</v>
      </c>
      <c r="T1" s="561"/>
      <c r="U1" s="562"/>
      <c r="V1"/>
      <c r="W1"/>
      <c r="X1"/>
      <c r="Y1"/>
      <c r="Z1"/>
      <c r="AA1"/>
      <c r="AB1"/>
    </row>
    <row r="2" spans="1:31" s="5" customFormat="1" ht="15" customHeight="1" x14ac:dyDescent="0.2">
      <c r="A2" s="106"/>
      <c r="B2" s="4"/>
      <c r="C2" s="583">
        <f>'Chart Review Info'!D3</f>
        <v>0</v>
      </c>
      <c r="D2" s="584"/>
      <c r="E2" s="584"/>
      <c r="F2" s="584"/>
      <c r="G2" s="585"/>
      <c r="H2"/>
      <c r="I2" s="150">
        <f>'Chart Review Info'!D4</f>
        <v>0</v>
      </c>
      <c r="J2" s="153"/>
      <c r="K2" s="592">
        <f>'Chart Review Info'!F25</f>
        <v>0</v>
      </c>
      <c r="L2" s="591"/>
      <c r="N2"/>
      <c r="O2"/>
      <c r="P2"/>
      <c r="Q2"/>
      <c r="R2"/>
      <c r="S2" s="55">
        <f>'Chart Review Info'!G4</f>
        <v>0</v>
      </c>
      <c r="T2" s="82" t="s">
        <v>261</v>
      </c>
      <c r="U2" s="83">
        <f>'Chart Review Info'!G5</f>
        <v>0</v>
      </c>
      <c r="V2"/>
      <c r="W2"/>
      <c r="X2"/>
      <c r="Y2"/>
      <c r="Z2"/>
      <c r="AA2"/>
      <c r="AB2"/>
    </row>
    <row r="3" spans="1:31" s="5" customFormat="1" x14ac:dyDescent="0.2">
      <c r="A3" s="106"/>
      <c r="B3" s="4"/>
      <c r="C3" s="84"/>
      <c r="H3"/>
      <c r="J3" s="98"/>
      <c r="V3"/>
      <c r="W3"/>
      <c r="X3"/>
      <c r="Y3"/>
      <c r="Z3"/>
      <c r="AA3"/>
      <c r="AB3"/>
    </row>
    <row r="4" spans="1:31" s="5" customFormat="1" ht="15.75" x14ac:dyDescent="0.25">
      <c r="A4" s="106"/>
      <c r="B4" s="4"/>
      <c r="C4" s="85" t="s">
        <v>202</v>
      </c>
      <c r="E4" s="85" t="s">
        <v>86</v>
      </c>
      <c r="F4" s="86"/>
      <c r="G4" s="85"/>
      <c r="H4"/>
      <c r="I4" s="151" t="s">
        <v>350</v>
      </c>
      <c r="J4" s="98"/>
      <c r="K4" s="87" t="s">
        <v>260</v>
      </c>
      <c r="L4" s="88"/>
      <c r="O4" s="86" t="s">
        <v>294</v>
      </c>
      <c r="P4"/>
      <c r="Q4"/>
      <c r="R4"/>
      <c r="S4" s="85" t="s">
        <v>12</v>
      </c>
      <c r="T4" s="563">
        <f>Prog_12</f>
        <v>0</v>
      </c>
      <c r="U4" s="564"/>
      <c r="V4"/>
      <c r="W4"/>
      <c r="X4"/>
      <c r="Y4"/>
      <c r="Z4"/>
      <c r="AA4"/>
      <c r="AB4"/>
    </row>
    <row r="5" spans="1:31" s="5" customFormat="1" x14ac:dyDescent="0.2">
      <c r="A5" s="106"/>
      <c r="B5" s="4"/>
      <c r="C5" s="54">
        <v>12</v>
      </c>
      <c r="E5" s="589" t="str">
        <f>'Chart Review Info'!C25</f>
        <v>N/A</v>
      </c>
      <c r="F5" s="590"/>
      <c r="G5" s="591"/>
      <c r="H5"/>
      <c r="I5" s="152">
        <f>Consum_12</f>
        <v>0</v>
      </c>
      <c r="J5" s="98"/>
      <c r="K5" s="293">
        <f>'Chart Review Info'!G4</f>
        <v>0</v>
      </c>
      <c r="L5" s="102" t="s">
        <v>261</v>
      </c>
      <c r="M5" s="293">
        <f>'Chart Review Info'!G5</f>
        <v>0</v>
      </c>
      <c r="O5" s="54">
        <f>'Chart Review Info'!G25</f>
        <v>0</v>
      </c>
      <c r="P5"/>
      <c r="Q5"/>
      <c r="R5"/>
      <c r="S5"/>
      <c r="T5"/>
      <c r="V5"/>
      <c r="W5"/>
      <c r="X5"/>
      <c r="Y5" s="6" t="s">
        <v>514</v>
      </c>
      <c r="Z5"/>
      <c r="AA5"/>
      <c r="AB5"/>
    </row>
    <row r="6" spans="1:31" x14ac:dyDescent="0.2">
      <c r="C6" s="154"/>
      <c r="D6" s="158"/>
      <c r="E6" s="155"/>
      <c r="F6" s="155"/>
      <c r="G6" s="155"/>
      <c r="H6" s="155"/>
      <c r="I6" s="155"/>
      <c r="J6" s="155"/>
      <c r="K6" s="155"/>
      <c r="L6" s="155"/>
      <c r="M6" s="155"/>
      <c r="N6" s="155"/>
      <c r="O6" s="155"/>
      <c r="P6" s="155"/>
      <c r="Q6" s="155"/>
      <c r="R6" s="155"/>
      <c r="T6" s="1"/>
      <c r="W6" s="51"/>
      <c r="Y6" s="329">
        <f>SUM(Y9:Y16)</f>
        <v>0</v>
      </c>
      <c r="AA6" s="13"/>
      <c r="AB6" s="13"/>
    </row>
    <row r="7" spans="1:31" ht="23.25" x14ac:dyDescent="0.25">
      <c r="C7" s="89" t="s">
        <v>262</v>
      </c>
      <c r="D7" s="159"/>
      <c r="E7" s="90"/>
      <c r="F7" s="90"/>
      <c r="G7" s="90"/>
      <c r="H7" s="90"/>
      <c r="I7" s="90"/>
      <c r="J7" s="90"/>
      <c r="K7" s="90"/>
      <c r="L7" s="90"/>
      <c r="M7" s="90"/>
      <c r="N7" s="90"/>
      <c r="O7" s="90"/>
      <c r="P7" s="90"/>
      <c r="S7" s="20"/>
      <c r="T7" s="21"/>
      <c r="U7" s="21"/>
      <c r="V7" s="21"/>
      <c r="W7" s="21"/>
      <c r="X7" s="160" t="s">
        <v>263</v>
      </c>
      <c r="Y7" s="160"/>
      <c r="Z7" s="160"/>
      <c r="AA7" s="22"/>
      <c r="AB7" s="23"/>
    </row>
    <row r="8" spans="1:31" ht="27" customHeight="1" x14ac:dyDescent="0.25">
      <c r="C8" s="91" t="s">
        <v>264</v>
      </c>
      <c r="D8" s="588" t="s">
        <v>68</v>
      </c>
      <c r="E8" s="574"/>
      <c r="F8" s="574"/>
      <c r="G8" s="574"/>
      <c r="H8" s="574"/>
      <c r="I8" s="574"/>
      <c r="J8" s="574"/>
      <c r="K8" s="574"/>
      <c r="L8" s="574"/>
      <c r="M8" s="574"/>
      <c r="N8" s="574"/>
      <c r="O8" s="92" t="s">
        <v>265</v>
      </c>
      <c r="P8" s="92" t="s">
        <v>266</v>
      </c>
      <c r="Q8" s="359"/>
      <c r="R8" s="351"/>
      <c r="S8" s="7" t="s">
        <v>449</v>
      </c>
      <c r="T8" s="9" t="s">
        <v>87</v>
      </c>
      <c r="U8" s="7" t="s">
        <v>88</v>
      </c>
      <c r="V8" s="7" t="s">
        <v>89</v>
      </c>
      <c r="W8" s="7" t="s">
        <v>90</v>
      </c>
      <c r="X8" s="7" t="s">
        <v>644</v>
      </c>
      <c r="Y8" s="8" t="s">
        <v>201</v>
      </c>
      <c r="Z8" s="116" t="s">
        <v>91</v>
      </c>
      <c r="AA8" s="117" t="s">
        <v>95</v>
      </c>
      <c r="AB8" s="117" t="s">
        <v>92</v>
      </c>
    </row>
    <row r="9" spans="1:31" ht="60" customHeight="1" x14ac:dyDescent="0.2">
      <c r="A9" s="212" t="s">
        <v>73</v>
      </c>
      <c r="B9" s="93"/>
      <c r="C9" s="94" t="s">
        <v>204</v>
      </c>
      <c r="D9" s="567" t="s">
        <v>658</v>
      </c>
      <c r="E9" s="470"/>
      <c r="F9" s="470"/>
      <c r="G9" s="470"/>
      <c r="H9" s="470"/>
      <c r="I9" s="470"/>
      <c r="J9" s="470"/>
      <c r="K9" s="470"/>
      <c r="L9" s="470"/>
      <c r="M9" s="470"/>
      <c r="N9" s="471"/>
      <c r="O9" s="71"/>
      <c r="P9" s="95" t="str">
        <f t="shared" ref="P9:P12" si="0">IF(O9="","",IF(O9="Yes","Pass",IF(O9="No","Fail","N/A")))</f>
        <v/>
      </c>
      <c r="Q9" s="173"/>
      <c r="R9" s="173"/>
      <c r="S9" s="124"/>
      <c r="T9" s="125"/>
      <c r="U9" s="125"/>
      <c r="V9" s="125"/>
      <c r="W9" s="126"/>
      <c r="X9" s="125"/>
      <c r="Y9" s="127"/>
      <c r="Z9" s="128"/>
      <c r="AA9" s="129"/>
      <c r="AB9" s="130"/>
      <c r="AC9" s="96"/>
      <c r="AD9" s="96"/>
      <c r="AE9" s="96"/>
    </row>
    <row r="10" spans="1:31" ht="87" customHeight="1" x14ac:dyDescent="0.2">
      <c r="A10" s="107">
        <v>1</v>
      </c>
      <c r="B10" s="93"/>
      <c r="C10" s="94" t="s">
        <v>205</v>
      </c>
      <c r="D10" s="567" t="s">
        <v>528</v>
      </c>
      <c r="E10" s="586"/>
      <c r="F10" s="586"/>
      <c r="G10" s="586"/>
      <c r="H10" s="586"/>
      <c r="I10" s="586"/>
      <c r="J10" s="586"/>
      <c r="K10" s="586"/>
      <c r="L10" s="586"/>
      <c r="M10" s="586"/>
      <c r="N10" s="587"/>
      <c r="O10" s="71"/>
      <c r="P10" s="95" t="str">
        <f t="shared" si="0"/>
        <v/>
      </c>
      <c r="Q10" s="173"/>
      <c r="R10" s="173"/>
      <c r="S10" s="124"/>
      <c r="T10" s="124"/>
      <c r="U10" s="124"/>
      <c r="V10" s="125"/>
      <c r="W10" s="131"/>
      <c r="X10" s="124"/>
      <c r="Y10" s="127"/>
      <c r="Z10" s="128"/>
      <c r="AA10" s="129"/>
      <c r="AB10" s="129"/>
    </row>
    <row r="11" spans="1:31" ht="50.25" customHeight="1" x14ac:dyDescent="0.2">
      <c r="A11" s="107" t="s">
        <v>70</v>
      </c>
      <c r="B11" s="93"/>
      <c r="C11" s="94" t="s">
        <v>206</v>
      </c>
      <c r="D11" s="567" t="s">
        <v>529</v>
      </c>
      <c r="E11" s="586"/>
      <c r="F11" s="586"/>
      <c r="G11" s="586"/>
      <c r="H11" s="586"/>
      <c r="I11" s="586"/>
      <c r="J11" s="586"/>
      <c r="K11" s="586"/>
      <c r="L11" s="586"/>
      <c r="M11" s="586"/>
      <c r="N11" s="587"/>
      <c r="O11" s="71"/>
      <c r="P11" s="95" t="str">
        <f t="shared" si="0"/>
        <v/>
      </c>
      <c r="Q11" s="173"/>
      <c r="R11" s="173"/>
      <c r="S11" s="124"/>
      <c r="T11" s="124"/>
      <c r="U11" s="124"/>
      <c r="V11" s="125"/>
      <c r="W11" s="131"/>
      <c r="X11" s="124"/>
      <c r="Y11" s="127"/>
      <c r="Z11" s="128"/>
      <c r="AA11" s="129"/>
      <c r="AB11" s="129"/>
    </row>
    <row r="12" spans="1:31" ht="33.75" customHeight="1" x14ac:dyDescent="0.2">
      <c r="A12" s="106">
        <v>1</v>
      </c>
      <c r="C12" s="94" t="s">
        <v>207</v>
      </c>
      <c r="D12" s="567" t="s">
        <v>659</v>
      </c>
      <c r="E12" s="586"/>
      <c r="F12" s="586"/>
      <c r="G12" s="586"/>
      <c r="H12" s="586"/>
      <c r="I12" s="586"/>
      <c r="J12" s="586"/>
      <c r="K12" s="586"/>
      <c r="L12" s="586"/>
      <c r="M12" s="586"/>
      <c r="N12" s="587"/>
      <c r="O12" s="71"/>
      <c r="P12" s="95" t="str">
        <f t="shared" si="0"/>
        <v/>
      </c>
      <c r="Q12" s="173"/>
      <c r="R12" s="173"/>
      <c r="S12" s="124"/>
      <c r="T12" s="124"/>
      <c r="U12" s="124"/>
      <c r="V12" s="125"/>
      <c r="W12" s="131"/>
      <c r="X12" s="124"/>
      <c r="Y12" s="127"/>
      <c r="Z12" s="128"/>
      <c r="AA12" s="129"/>
      <c r="AB12" s="129"/>
    </row>
    <row r="13" spans="1:31" ht="36" customHeight="1" x14ac:dyDescent="0.2">
      <c r="A13" s="107">
        <v>1</v>
      </c>
      <c r="B13" s="93"/>
      <c r="C13" s="97" t="s">
        <v>208</v>
      </c>
      <c r="D13" s="567" t="s">
        <v>656</v>
      </c>
      <c r="E13" s="470"/>
      <c r="F13" s="470"/>
      <c r="G13" s="470"/>
      <c r="H13" s="470"/>
      <c r="I13" s="470"/>
      <c r="J13" s="470"/>
      <c r="K13" s="470"/>
      <c r="L13" s="470"/>
      <c r="M13" s="470"/>
      <c r="N13" s="471"/>
      <c r="O13" s="71"/>
      <c r="P13" s="95" t="str">
        <f t="shared" ref="P13:P19" si="1">IF(O13="","",IF(O13="Yes","Pass",IF(O13="No","Fail","N/A")))</f>
        <v/>
      </c>
      <c r="Q13" s="173"/>
      <c r="R13" s="173"/>
      <c r="S13" s="124"/>
      <c r="T13" s="124"/>
      <c r="U13" s="124"/>
      <c r="V13" s="125"/>
      <c r="W13" s="131"/>
      <c r="X13" s="124"/>
      <c r="Y13" s="127"/>
      <c r="Z13" s="128"/>
      <c r="AA13" s="129"/>
      <c r="AB13" s="129"/>
    </row>
    <row r="14" spans="1:31" ht="46.5" customHeight="1" x14ac:dyDescent="0.2">
      <c r="A14" s="107" t="s">
        <v>70</v>
      </c>
      <c r="B14" s="93"/>
      <c r="C14" s="97" t="s">
        <v>209</v>
      </c>
      <c r="D14" s="567" t="s">
        <v>530</v>
      </c>
      <c r="E14" s="586"/>
      <c r="F14" s="586"/>
      <c r="G14" s="586"/>
      <c r="H14" s="586"/>
      <c r="I14" s="586"/>
      <c r="J14" s="586"/>
      <c r="K14" s="586"/>
      <c r="L14" s="586"/>
      <c r="M14" s="586"/>
      <c r="N14" s="587"/>
      <c r="O14" s="71"/>
      <c r="P14" s="95" t="str">
        <f t="shared" si="1"/>
        <v/>
      </c>
      <c r="Q14" s="173"/>
      <c r="R14" s="173"/>
      <c r="S14" s="124"/>
      <c r="T14" s="124"/>
      <c r="U14" s="124"/>
      <c r="V14" s="125"/>
      <c r="W14" s="131"/>
      <c r="X14" s="124"/>
      <c r="Y14" s="127"/>
      <c r="Z14" s="128"/>
      <c r="AA14" s="129"/>
      <c r="AB14" s="129"/>
    </row>
    <row r="15" spans="1:31" ht="49.5" customHeight="1" x14ac:dyDescent="0.2">
      <c r="A15" s="107">
        <v>1</v>
      </c>
      <c r="B15" s="93"/>
      <c r="C15" s="94" t="s">
        <v>210</v>
      </c>
      <c r="D15" s="567" t="s">
        <v>531</v>
      </c>
      <c r="E15" s="586"/>
      <c r="F15" s="586"/>
      <c r="G15" s="586"/>
      <c r="H15" s="586"/>
      <c r="I15" s="586"/>
      <c r="J15" s="586"/>
      <c r="K15" s="586"/>
      <c r="L15" s="586"/>
      <c r="M15" s="586"/>
      <c r="N15" s="587"/>
      <c r="O15" s="71"/>
      <c r="P15" s="95" t="str">
        <f t="shared" si="1"/>
        <v/>
      </c>
      <c r="Q15" s="173"/>
      <c r="R15" s="173"/>
      <c r="S15" s="124"/>
      <c r="T15" s="124"/>
      <c r="U15" s="124"/>
      <c r="V15" s="125"/>
      <c r="W15" s="131"/>
      <c r="X15" s="124"/>
      <c r="Y15" s="127"/>
      <c r="Z15" s="128"/>
      <c r="AA15" s="129"/>
      <c r="AB15" s="129"/>
    </row>
    <row r="16" spans="1:31" ht="66.75" customHeight="1" x14ac:dyDescent="0.2">
      <c r="A16" s="106">
        <v>1</v>
      </c>
      <c r="C16" s="97" t="s">
        <v>211</v>
      </c>
      <c r="D16" s="567" t="s">
        <v>532</v>
      </c>
      <c r="E16" s="586"/>
      <c r="F16" s="586"/>
      <c r="G16" s="586"/>
      <c r="H16" s="586"/>
      <c r="I16" s="586"/>
      <c r="J16" s="586"/>
      <c r="K16" s="586"/>
      <c r="L16" s="586"/>
      <c r="M16" s="586"/>
      <c r="N16" s="587"/>
      <c r="O16" s="71"/>
      <c r="P16" s="95" t="str">
        <f t="shared" si="1"/>
        <v/>
      </c>
      <c r="Q16" s="173"/>
      <c r="R16" s="173"/>
      <c r="S16" s="124"/>
      <c r="T16" s="124"/>
      <c r="U16" s="124"/>
      <c r="V16" s="125"/>
      <c r="W16" s="131"/>
      <c r="X16" s="124"/>
      <c r="Y16" s="127"/>
      <c r="Z16" s="128"/>
      <c r="AA16" s="129"/>
      <c r="AB16" s="129"/>
    </row>
    <row r="17" spans="1:28" ht="39" customHeight="1" x14ac:dyDescent="0.2">
      <c r="A17" s="107" t="s">
        <v>70</v>
      </c>
      <c r="B17" s="93"/>
      <c r="C17" s="97" t="s">
        <v>212</v>
      </c>
      <c r="D17" s="567" t="s">
        <v>533</v>
      </c>
      <c r="E17" s="586"/>
      <c r="F17" s="586"/>
      <c r="G17" s="586"/>
      <c r="H17" s="586"/>
      <c r="I17" s="586"/>
      <c r="J17" s="586"/>
      <c r="K17" s="586"/>
      <c r="L17" s="586"/>
      <c r="M17" s="586"/>
      <c r="N17" s="587"/>
      <c r="O17" s="71"/>
      <c r="P17" s="95" t="str">
        <f t="shared" si="1"/>
        <v/>
      </c>
      <c r="Q17" s="173"/>
      <c r="R17" s="173"/>
      <c r="S17" s="124"/>
      <c r="T17" s="124"/>
      <c r="U17" s="124"/>
      <c r="V17" s="125"/>
      <c r="W17" s="131"/>
      <c r="X17" s="124"/>
      <c r="Y17" s="127"/>
      <c r="Z17" s="128"/>
      <c r="AA17" s="129"/>
      <c r="AB17" s="129"/>
    </row>
    <row r="18" spans="1:28" ht="83.25" customHeight="1" x14ac:dyDescent="0.2">
      <c r="A18" s="107" t="s">
        <v>70</v>
      </c>
      <c r="B18" s="93"/>
      <c r="C18" s="94" t="s">
        <v>657</v>
      </c>
      <c r="D18" s="567" t="s">
        <v>534</v>
      </c>
      <c r="E18" s="586"/>
      <c r="F18" s="586"/>
      <c r="G18" s="586"/>
      <c r="H18" s="586"/>
      <c r="I18" s="586"/>
      <c r="J18" s="586"/>
      <c r="K18" s="586"/>
      <c r="L18" s="586"/>
      <c r="M18" s="586"/>
      <c r="N18" s="587"/>
      <c r="O18" s="71"/>
      <c r="P18" s="95" t="str">
        <f t="shared" si="1"/>
        <v/>
      </c>
      <c r="Q18" s="173"/>
      <c r="R18" s="173"/>
      <c r="S18" s="124"/>
      <c r="T18" s="124"/>
      <c r="U18" s="124"/>
      <c r="V18" s="125"/>
      <c r="W18" s="131"/>
      <c r="X18" s="124"/>
      <c r="Y18" s="127"/>
      <c r="Z18" s="128"/>
      <c r="AA18" s="129"/>
      <c r="AB18" s="129"/>
    </row>
    <row r="19" spans="1:28" ht="47.25" customHeight="1" x14ac:dyDescent="0.2">
      <c r="A19" s="107" t="s">
        <v>81</v>
      </c>
      <c r="B19" s="93"/>
      <c r="C19" s="391" t="s">
        <v>213</v>
      </c>
      <c r="D19" s="571" t="s">
        <v>535</v>
      </c>
      <c r="E19" s="572"/>
      <c r="F19" s="572"/>
      <c r="G19" s="572"/>
      <c r="H19" s="572"/>
      <c r="I19" s="572"/>
      <c r="J19" s="572"/>
      <c r="K19" s="572"/>
      <c r="L19" s="572"/>
      <c r="M19" s="572"/>
      <c r="N19" s="572"/>
      <c r="O19" s="71"/>
      <c r="P19" s="95" t="str">
        <f t="shared" si="1"/>
        <v/>
      </c>
      <c r="Q19" s="173"/>
      <c r="R19" s="173"/>
      <c r="S19" s="124"/>
      <c r="T19" s="124"/>
      <c r="U19" s="124"/>
      <c r="V19" s="125"/>
      <c r="W19" s="131"/>
      <c r="X19" s="124"/>
      <c r="Y19" s="127"/>
      <c r="Z19" s="128"/>
      <c r="AA19" s="129"/>
      <c r="AB19" s="129"/>
    </row>
    <row r="20" spans="1:28" ht="22.5" customHeight="1" x14ac:dyDescent="0.2">
      <c r="A20" s="106">
        <v>1</v>
      </c>
      <c r="B20" s="93"/>
      <c r="C20" s="575" t="s">
        <v>267</v>
      </c>
      <c r="D20" s="470"/>
      <c r="E20" s="470"/>
      <c r="F20" s="470"/>
      <c r="G20" s="470"/>
      <c r="H20" s="470"/>
      <c r="I20" s="470"/>
      <c r="J20" s="470"/>
      <c r="K20" s="470"/>
      <c r="L20" s="470"/>
      <c r="M20" s="470"/>
      <c r="N20" s="470"/>
      <c r="O20"/>
      <c r="P20" s="392"/>
      <c r="Q20" s="174"/>
      <c r="R20" s="174"/>
      <c r="S20" s="124"/>
      <c r="T20" s="124"/>
      <c r="U20" s="124"/>
      <c r="V20" s="125"/>
      <c r="W20" s="131"/>
      <c r="X20" s="124"/>
      <c r="Y20" s="127"/>
      <c r="Z20" s="128"/>
      <c r="AA20" s="129"/>
      <c r="AB20" s="129"/>
    </row>
    <row r="21" spans="1:28" ht="30.75" customHeight="1" x14ac:dyDescent="0.2">
      <c r="A21" s="107" t="s">
        <v>73</v>
      </c>
      <c r="C21" s="581" t="s">
        <v>17</v>
      </c>
      <c r="D21" s="470"/>
      <c r="E21" s="470"/>
      <c r="F21" s="470"/>
      <c r="G21" s="470"/>
      <c r="H21" s="470"/>
      <c r="I21" s="470"/>
      <c r="J21" s="470"/>
      <c r="K21" s="470"/>
      <c r="L21" s="470"/>
      <c r="M21" s="470"/>
      <c r="N21" s="471"/>
      <c r="O21" s="345"/>
      <c r="P21" s="343"/>
      <c r="Q21" s="172"/>
      <c r="R21" s="172"/>
      <c r="S21" s="124"/>
      <c r="T21" s="124"/>
      <c r="U21" s="124"/>
      <c r="V21" s="125"/>
      <c r="W21" s="131"/>
      <c r="X21" s="124"/>
      <c r="Y21" s="132"/>
      <c r="Z21" s="128"/>
      <c r="AA21" s="129"/>
      <c r="AB21" s="129"/>
    </row>
    <row r="22" spans="1:28" ht="18" customHeight="1" x14ac:dyDescent="0.25">
      <c r="C22" s="100" t="s">
        <v>264</v>
      </c>
      <c r="D22" s="573" t="s">
        <v>71</v>
      </c>
      <c r="E22" s="574"/>
      <c r="F22" s="574"/>
      <c r="G22" s="574"/>
      <c r="H22" s="574"/>
      <c r="I22" s="574"/>
      <c r="J22" s="574"/>
      <c r="K22" s="574"/>
      <c r="L22" s="574"/>
      <c r="M22" s="574"/>
      <c r="N22" s="440"/>
      <c r="O22" s="101" t="s">
        <v>265</v>
      </c>
      <c r="P22" s="101" t="s">
        <v>266</v>
      </c>
      <c r="Q22" s="359"/>
      <c r="R22" s="175"/>
      <c r="S22" s="124"/>
      <c r="T22" s="124"/>
      <c r="U22" s="124"/>
      <c r="V22" s="125"/>
      <c r="W22" s="131"/>
      <c r="X22" s="124"/>
      <c r="Y22" s="127"/>
      <c r="Z22" s="128"/>
      <c r="AA22" s="129"/>
      <c r="AB22" s="129"/>
    </row>
    <row r="23" spans="1:28" ht="18" customHeight="1" x14ac:dyDescent="0.2">
      <c r="A23" s="106">
        <v>1</v>
      </c>
      <c r="C23" s="102" t="s">
        <v>215</v>
      </c>
      <c r="D23" s="567" t="s">
        <v>268</v>
      </c>
      <c r="E23" s="470"/>
      <c r="F23" s="470"/>
      <c r="G23" s="470"/>
      <c r="H23" s="470"/>
      <c r="I23" s="470"/>
      <c r="J23" s="470"/>
      <c r="K23" s="470"/>
      <c r="L23" s="470"/>
      <c r="M23" s="470"/>
      <c r="N23" s="471"/>
      <c r="O23" s="71"/>
      <c r="P23" s="95" t="str">
        <f>IF(O23="","",IF(O23="Yes","Pass",IF(O23="No","Fail","N/A")))</f>
        <v/>
      </c>
      <c r="Q23" s="173"/>
      <c r="R23" s="173"/>
      <c r="S23" s="124"/>
      <c r="T23" s="124"/>
      <c r="U23" s="124"/>
      <c r="V23" s="125"/>
      <c r="W23" s="131"/>
      <c r="X23" s="124"/>
      <c r="Y23" s="127"/>
      <c r="Z23" s="128"/>
      <c r="AA23" s="129"/>
      <c r="AB23" s="129"/>
    </row>
    <row r="24" spans="1:28" ht="45" customHeight="1" x14ac:dyDescent="0.2">
      <c r="A24" s="107" t="s">
        <v>69</v>
      </c>
      <c r="C24" s="97" t="s">
        <v>216</v>
      </c>
      <c r="D24" s="567" t="s">
        <v>269</v>
      </c>
      <c r="E24" s="470"/>
      <c r="F24" s="470"/>
      <c r="G24" s="470"/>
      <c r="H24" s="470"/>
      <c r="I24" s="470"/>
      <c r="J24" s="470"/>
      <c r="K24" s="470"/>
      <c r="L24" s="470"/>
      <c r="M24" s="470"/>
      <c r="N24" s="471"/>
      <c r="O24" s="71"/>
      <c r="P24" s="95" t="str">
        <f>IF(O24="","",IF(O24="Yes","Pass",IF(O24="No","Fail","N/A")))</f>
        <v/>
      </c>
      <c r="Q24" s="173"/>
      <c r="R24" s="173"/>
      <c r="S24" s="124"/>
      <c r="T24" s="124"/>
      <c r="U24" s="124"/>
      <c r="V24" s="125"/>
      <c r="W24" s="131"/>
      <c r="X24" s="124"/>
      <c r="Y24" s="127"/>
      <c r="Z24" s="128"/>
      <c r="AA24" s="129"/>
      <c r="AB24" s="129"/>
    </row>
    <row r="25" spans="1:28" ht="45" customHeight="1" x14ac:dyDescent="0.2">
      <c r="A25" s="107" t="s">
        <v>69</v>
      </c>
      <c r="B25" s="93"/>
      <c r="C25" s="97" t="s">
        <v>217</v>
      </c>
      <c r="D25" s="567" t="s">
        <v>270</v>
      </c>
      <c r="E25" s="470"/>
      <c r="F25" s="470"/>
      <c r="G25" s="470"/>
      <c r="H25" s="470"/>
      <c r="I25" s="470"/>
      <c r="J25" s="470"/>
      <c r="K25" s="470"/>
      <c r="L25" s="470"/>
      <c r="M25" s="470"/>
      <c r="N25" s="471"/>
      <c r="O25" s="71"/>
      <c r="P25" s="95" t="str">
        <f>IF(O25="","",IF(O25="Yes","Pass",IF(O25="No","Fail","N/A")))</f>
        <v/>
      </c>
      <c r="Q25" s="173"/>
      <c r="R25" s="173"/>
      <c r="S25" s="124"/>
      <c r="T25" s="124"/>
      <c r="U25" s="124"/>
      <c r="V25" s="125"/>
      <c r="W25" s="131"/>
      <c r="X25" s="124"/>
      <c r="Y25" s="127"/>
      <c r="Z25" s="128"/>
      <c r="AA25" s="129"/>
      <c r="AB25" s="129"/>
    </row>
    <row r="26" spans="1:28" ht="51.75" customHeight="1" x14ac:dyDescent="0.2">
      <c r="A26" s="107" t="s">
        <v>69</v>
      </c>
      <c r="B26" s="93"/>
      <c r="C26" s="97" t="s">
        <v>218</v>
      </c>
      <c r="D26" s="567" t="s">
        <v>271</v>
      </c>
      <c r="E26" s="470"/>
      <c r="F26" s="470"/>
      <c r="G26" s="470"/>
      <c r="H26" s="470"/>
      <c r="I26" s="470"/>
      <c r="J26" s="470"/>
      <c r="K26" s="470"/>
      <c r="L26" s="470"/>
      <c r="M26" s="470"/>
      <c r="N26" s="470"/>
      <c r="O26" s="71"/>
      <c r="P26" s="95" t="str">
        <f>IF(O26="","",IF(O26="Yes","Pass",IF(O26="No","Fail","N/A")))</f>
        <v/>
      </c>
      <c r="Q26" s="173"/>
      <c r="R26" s="173"/>
      <c r="S26" s="124"/>
      <c r="T26" s="124"/>
      <c r="U26" s="124"/>
      <c r="V26" s="125"/>
      <c r="W26" s="131"/>
      <c r="X26" s="124"/>
      <c r="Y26" s="127"/>
      <c r="Z26" s="128"/>
      <c r="AA26" s="129"/>
      <c r="AB26" s="129"/>
    </row>
    <row r="27" spans="1:28" ht="22.5" customHeight="1" x14ac:dyDescent="0.2">
      <c r="A27" s="106">
        <v>1</v>
      </c>
      <c r="B27" s="93"/>
      <c r="C27" s="580" t="s">
        <v>272</v>
      </c>
      <c r="D27" s="470"/>
      <c r="E27" s="470"/>
      <c r="F27" s="470"/>
      <c r="G27" s="470"/>
      <c r="H27" s="470"/>
      <c r="I27" s="470"/>
      <c r="J27" s="470"/>
      <c r="K27" s="470"/>
      <c r="L27" s="470"/>
      <c r="M27" s="470"/>
      <c r="N27" s="470"/>
      <c r="O27" s="341"/>
      <c r="Q27" s="123"/>
      <c r="R27" s="123"/>
      <c r="S27" s="124"/>
      <c r="T27" s="124"/>
      <c r="U27" s="124"/>
      <c r="V27" s="125"/>
      <c r="W27" s="131"/>
      <c r="X27" s="124"/>
      <c r="Y27" s="127"/>
      <c r="Z27" s="128"/>
      <c r="AA27" s="129"/>
      <c r="AB27" s="129"/>
    </row>
    <row r="28" spans="1:28" ht="29.25" customHeight="1" x14ac:dyDescent="0.2">
      <c r="A28" s="107" t="s">
        <v>73</v>
      </c>
      <c r="C28" s="581" t="s">
        <v>17</v>
      </c>
      <c r="D28" s="470"/>
      <c r="E28" s="470"/>
      <c r="F28" s="470"/>
      <c r="G28" s="470"/>
      <c r="H28" s="470"/>
      <c r="I28" s="470"/>
      <c r="J28" s="470"/>
      <c r="K28" s="470"/>
      <c r="L28" s="470"/>
      <c r="M28" s="470"/>
      <c r="N28" s="470"/>
      <c r="O28" s="345"/>
      <c r="P28" s="340"/>
      <c r="Q28" s="123"/>
      <c r="R28" s="123"/>
      <c r="S28" s="124"/>
      <c r="T28" s="124"/>
      <c r="U28" s="124"/>
      <c r="V28" s="125"/>
      <c r="W28" s="131"/>
      <c r="X28" s="133"/>
      <c r="Y28" s="132"/>
      <c r="Z28" s="128"/>
      <c r="AA28" s="129"/>
      <c r="AB28" s="129"/>
    </row>
    <row r="29" spans="1:28" ht="24" customHeight="1" x14ac:dyDescent="0.25">
      <c r="C29" s="100" t="s">
        <v>264</v>
      </c>
      <c r="D29" s="573" t="s">
        <v>465</v>
      </c>
      <c r="E29" s="574"/>
      <c r="F29" s="574"/>
      <c r="G29" s="574"/>
      <c r="H29" s="574"/>
      <c r="I29" s="574"/>
      <c r="J29" s="574"/>
      <c r="K29" s="574"/>
      <c r="L29" s="574"/>
      <c r="M29" s="574"/>
      <c r="N29" s="574"/>
      <c r="O29" s="101" t="s">
        <v>265</v>
      </c>
      <c r="P29" s="101" t="s">
        <v>266</v>
      </c>
      <c r="Q29" s="359"/>
      <c r="R29" s="175"/>
      <c r="S29" s="124"/>
      <c r="T29" s="124"/>
      <c r="U29" s="124"/>
      <c r="V29" s="125"/>
      <c r="W29" s="131"/>
      <c r="X29" s="133"/>
      <c r="Y29" s="132"/>
      <c r="Z29" s="128"/>
      <c r="AA29" s="129"/>
      <c r="AB29" s="129"/>
    </row>
    <row r="30" spans="1:28" ht="66" customHeight="1" x14ac:dyDescent="0.2">
      <c r="A30" s="107" t="s">
        <v>69</v>
      </c>
      <c r="C30" s="102" t="s">
        <v>466</v>
      </c>
      <c r="D30" s="567" t="s">
        <v>467</v>
      </c>
      <c r="E30" s="572"/>
      <c r="F30" s="572"/>
      <c r="G30" s="572"/>
      <c r="H30" s="572"/>
      <c r="I30" s="572"/>
      <c r="J30" s="572"/>
      <c r="K30" s="572"/>
      <c r="L30" s="572"/>
      <c r="M30" s="572"/>
      <c r="N30" s="572"/>
      <c r="O30" s="71"/>
      <c r="P30" s="95" t="str">
        <f t="shared" ref="P30:P31" si="2">IF(O30="","",IF(O30="Yes","Pass",IF(O30="No","Fail","N/A")))</f>
        <v/>
      </c>
      <c r="Q30" s="173"/>
      <c r="R30" s="173"/>
      <c r="S30" s="124"/>
      <c r="T30" s="124"/>
      <c r="U30" s="124"/>
      <c r="V30" s="125"/>
      <c r="W30" s="131"/>
      <c r="X30" s="133"/>
      <c r="Y30" s="132"/>
      <c r="Z30" s="128"/>
      <c r="AA30" s="129"/>
      <c r="AB30" s="129"/>
    </row>
    <row r="31" spans="1:28" ht="33.75" customHeight="1" x14ac:dyDescent="0.2">
      <c r="A31" s="107" t="s">
        <v>73</v>
      </c>
      <c r="B31" s="93"/>
      <c r="C31" s="102" t="s">
        <v>471</v>
      </c>
      <c r="D31" s="579" t="s">
        <v>468</v>
      </c>
      <c r="E31" s="572"/>
      <c r="F31" s="572"/>
      <c r="G31" s="572"/>
      <c r="H31" s="572"/>
      <c r="I31" s="572"/>
      <c r="J31" s="572"/>
      <c r="K31" s="572"/>
      <c r="L31" s="572"/>
      <c r="M31" s="572"/>
      <c r="N31" s="572"/>
      <c r="O31" s="71"/>
      <c r="P31" s="95" t="str">
        <f t="shared" si="2"/>
        <v/>
      </c>
      <c r="Q31" s="173"/>
      <c r="R31" s="173"/>
      <c r="S31" s="124"/>
      <c r="T31" s="124"/>
      <c r="U31" s="124"/>
      <c r="V31" s="125"/>
      <c r="W31" s="131"/>
      <c r="X31" s="133"/>
      <c r="Y31" s="132"/>
      <c r="Z31" s="128"/>
      <c r="AA31" s="129"/>
      <c r="AB31" s="129"/>
    </row>
    <row r="32" spans="1:28" ht="45" customHeight="1" x14ac:dyDescent="0.2">
      <c r="A32" s="107" t="s">
        <v>69</v>
      </c>
      <c r="B32" s="93"/>
      <c r="C32" s="102" t="s">
        <v>472</v>
      </c>
      <c r="D32" s="579" t="s">
        <v>469</v>
      </c>
      <c r="E32" s="572"/>
      <c r="F32" s="572"/>
      <c r="G32" s="572"/>
      <c r="H32" s="572"/>
      <c r="I32" s="572"/>
      <c r="J32" s="572"/>
      <c r="K32" s="572"/>
      <c r="L32" s="572"/>
      <c r="M32" s="572"/>
      <c r="N32" s="572"/>
      <c r="O32" s="71"/>
      <c r="P32" s="95" t="str">
        <f>IF(O32="","",IF(O32="Yes","Pass",IF(O32="No","Fail","N/A")))</f>
        <v/>
      </c>
      <c r="Q32" s="173"/>
      <c r="R32" s="173"/>
      <c r="S32" s="124"/>
      <c r="T32" s="124"/>
      <c r="U32" s="124"/>
      <c r="V32" s="125"/>
      <c r="W32" s="131"/>
      <c r="X32" s="133"/>
      <c r="Y32" s="132"/>
      <c r="Z32" s="128"/>
      <c r="AA32" s="129"/>
      <c r="AB32" s="129"/>
    </row>
    <row r="33" spans="1:28" ht="30" customHeight="1" x14ac:dyDescent="0.2">
      <c r="A33" s="107" t="s">
        <v>70</v>
      </c>
      <c r="B33" s="93"/>
      <c r="C33" s="102" t="s">
        <v>473</v>
      </c>
      <c r="D33" s="579" t="s">
        <v>470</v>
      </c>
      <c r="E33" s="572"/>
      <c r="F33" s="572"/>
      <c r="G33" s="572"/>
      <c r="H33" s="572"/>
      <c r="I33" s="572"/>
      <c r="J33" s="572"/>
      <c r="K33" s="572"/>
      <c r="L33" s="572"/>
      <c r="M33" s="572"/>
      <c r="N33" s="572"/>
      <c r="O33" s="71"/>
      <c r="P33" s="95" t="str">
        <f>IF(O33="","",IF(O33="Yes","Pass",IF(O33="No","Fail","N/A")))</f>
        <v/>
      </c>
      <c r="Q33" s="173"/>
      <c r="R33" s="173"/>
      <c r="S33" s="124"/>
      <c r="T33" s="124"/>
      <c r="U33" s="124"/>
      <c r="V33" s="125"/>
      <c r="W33" s="131"/>
      <c r="X33" s="133"/>
      <c r="Y33" s="132"/>
      <c r="Z33" s="128"/>
      <c r="AA33" s="129"/>
      <c r="AB33" s="129"/>
    </row>
    <row r="34" spans="1:28" ht="24" customHeight="1" x14ac:dyDescent="0.2">
      <c r="A34" s="107" t="s">
        <v>69</v>
      </c>
      <c r="B34" s="93"/>
      <c r="C34" s="580" t="s">
        <v>545</v>
      </c>
      <c r="D34" s="470"/>
      <c r="E34" s="470"/>
      <c r="F34" s="470"/>
      <c r="G34" s="470"/>
      <c r="H34" s="470"/>
      <c r="I34" s="470"/>
      <c r="J34" s="470"/>
      <c r="K34" s="470"/>
      <c r="L34" s="470"/>
      <c r="M34" s="470"/>
      <c r="N34" s="470"/>
      <c r="O34" s="341"/>
      <c r="Q34" s="359"/>
      <c r="S34" s="124"/>
      <c r="T34" s="124"/>
      <c r="U34" s="124"/>
      <c r="V34" s="125"/>
      <c r="W34" s="131"/>
      <c r="X34" s="133"/>
      <c r="Y34" s="132"/>
      <c r="Z34" s="128"/>
      <c r="AA34" s="129"/>
      <c r="AB34" s="129"/>
    </row>
    <row r="35" spans="1:28" ht="27.75" customHeight="1" x14ac:dyDescent="0.2">
      <c r="A35" s="107" t="s">
        <v>69</v>
      </c>
      <c r="B35" s="93"/>
      <c r="C35" s="581" t="s">
        <v>17</v>
      </c>
      <c r="D35" s="470"/>
      <c r="E35" s="470"/>
      <c r="F35" s="470"/>
      <c r="G35" s="470"/>
      <c r="H35" s="470"/>
      <c r="I35" s="470"/>
      <c r="J35" s="470"/>
      <c r="K35" s="470"/>
      <c r="L35" s="470"/>
      <c r="M35" s="470"/>
      <c r="N35" s="470"/>
      <c r="O35" s="345"/>
      <c r="Q35" s="173"/>
      <c r="R35"/>
      <c r="U35"/>
      <c r="V35"/>
      <c r="W35"/>
      <c r="X35"/>
      <c r="Y35"/>
      <c r="Z35"/>
      <c r="AA35"/>
      <c r="AB35"/>
    </row>
    <row r="36" spans="1:28" ht="24.75" customHeight="1" x14ac:dyDescent="0.25">
      <c r="A36" s="107" t="s">
        <v>70</v>
      </c>
      <c r="B36" s="93"/>
      <c r="C36" s="100" t="s">
        <v>264</v>
      </c>
      <c r="D36" s="573" t="s">
        <v>72</v>
      </c>
      <c r="E36" s="574"/>
      <c r="F36" s="574"/>
      <c r="G36" s="574"/>
      <c r="H36" s="574"/>
      <c r="I36" s="574"/>
      <c r="J36" s="574"/>
      <c r="K36" s="574"/>
      <c r="L36" s="574"/>
      <c r="M36" s="574"/>
      <c r="N36" s="440"/>
      <c r="O36" s="101" t="s">
        <v>265</v>
      </c>
      <c r="P36" s="101" t="s">
        <v>266</v>
      </c>
      <c r="Q36" s="173"/>
      <c r="R36"/>
      <c r="U36"/>
      <c r="V36"/>
      <c r="W36"/>
      <c r="X36"/>
      <c r="Y36"/>
      <c r="Z36"/>
      <c r="AA36"/>
      <c r="AB36"/>
    </row>
    <row r="37" spans="1:28" ht="31.5" customHeight="1" x14ac:dyDescent="0.2">
      <c r="A37" s="107" t="s">
        <v>73</v>
      </c>
      <c r="B37" s="93"/>
      <c r="C37" s="103" t="s">
        <v>220</v>
      </c>
      <c r="D37" s="445" t="s">
        <v>544</v>
      </c>
      <c r="E37" s="568"/>
      <c r="F37" s="568"/>
      <c r="G37" s="568"/>
      <c r="H37" s="568"/>
      <c r="I37" s="568"/>
      <c r="J37" s="568"/>
      <c r="K37" s="568"/>
      <c r="L37" s="568"/>
      <c r="M37" s="568"/>
      <c r="N37" s="569"/>
      <c r="O37" s="71"/>
      <c r="P37" s="95" t="str">
        <f>IF(O37="","",IF(O37="Yes","Pass",IF(O37="No","Fail","N/A")))</f>
        <v/>
      </c>
      <c r="Q37" s="173"/>
      <c r="R37"/>
      <c r="U37"/>
      <c r="V37"/>
      <c r="W37"/>
      <c r="X37"/>
      <c r="Y37"/>
      <c r="Z37"/>
      <c r="AA37"/>
      <c r="AB37"/>
    </row>
    <row r="38" spans="1:28" ht="30" customHeight="1" x14ac:dyDescent="0.2">
      <c r="A38" s="107" t="s">
        <v>70</v>
      </c>
      <c r="B38" s="93"/>
      <c r="C38" s="185"/>
      <c r="D38" s="296" t="s">
        <v>351</v>
      </c>
      <c r="E38" s="297"/>
      <c r="F38" s="298"/>
      <c r="G38" s="299"/>
      <c r="I38" s="300" t="s">
        <v>352</v>
      </c>
      <c r="J38" s="299"/>
      <c r="K38" s="301" t="s">
        <v>353</v>
      </c>
      <c r="L38" s="191"/>
      <c r="M38" s="302"/>
      <c r="N38" s="303" t="e">
        <f>J38/G38</f>
        <v>#DIV/0!</v>
      </c>
      <c r="Q38" s="173"/>
      <c r="R38"/>
      <c r="U38"/>
      <c r="V38"/>
      <c r="W38"/>
      <c r="X38"/>
      <c r="Y38"/>
      <c r="Z38"/>
      <c r="AA38"/>
      <c r="AB38"/>
    </row>
    <row r="39" spans="1:28" ht="38.25" customHeight="1" x14ac:dyDescent="0.2">
      <c r="A39" s="107" t="s">
        <v>73</v>
      </c>
      <c r="B39" s="93"/>
      <c r="C39" s="97" t="s">
        <v>133</v>
      </c>
      <c r="D39" s="579" t="s">
        <v>645</v>
      </c>
      <c r="E39" s="572"/>
      <c r="F39" s="572"/>
      <c r="G39" s="572"/>
      <c r="H39" s="572"/>
      <c r="I39" s="572"/>
      <c r="J39" s="572"/>
      <c r="K39" s="572"/>
      <c r="L39" s="572"/>
      <c r="M39" s="572"/>
      <c r="N39" s="572"/>
      <c r="O39" s="71"/>
      <c r="P39" s="95" t="str">
        <f t="shared" ref="P39:P49" si="3">IF(O39="","",IF(O39="Yes","Pass",IF(O39="No","Fail","N/A")))</f>
        <v/>
      </c>
      <c r="Q39" s="173"/>
      <c r="R39"/>
      <c r="U39"/>
      <c r="V39"/>
      <c r="W39"/>
      <c r="X39"/>
      <c r="Y39"/>
      <c r="Z39"/>
      <c r="AA39"/>
      <c r="AB39"/>
    </row>
    <row r="40" spans="1:28" ht="30" customHeight="1" x14ac:dyDescent="0.2">
      <c r="A40" s="107" t="s">
        <v>70</v>
      </c>
      <c r="B40" s="93"/>
      <c r="C40" s="97" t="s">
        <v>221</v>
      </c>
      <c r="D40" s="579" t="s">
        <v>536</v>
      </c>
      <c r="E40" s="470"/>
      <c r="F40" s="470"/>
      <c r="G40" s="470"/>
      <c r="H40" s="470"/>
      <c r="I40" s="470"/>
      <c r="J40" s="470"/>
      <c r="K40" s="470"/>
      <c r="L40" s="470"/>
      <c r="M40" s="470"/>
      <c r="N40" s="470"/>
      <c r="O40" s="71"/>
      <c r="P40" s="95" t="str">
        <f t="shared" si="3"/>
        <v/>
      </c>
      <c r="Q40" s="173"/>
      <c r="R40"/>
      <c r="U40"/>
      <c r="V40"/>
      <c r="W40"/>
      <c r="X40"/>
      <c r="Y40"/>
      <c r="Z40"/>
      <c r="AA40"/>
      <c r="AB40"/>
    </row>
    <row r="41" spans="1:28" ht="41.25" customHeight="1" x14ac:dyDescent="0.2">
      <c r="A41" s="107">
        <v>1</v>
      </c>
      <c r="B41" s="93"/>
      <c r="C41" s="103" t="s">
        <v>222</v>
      </c>
      <c r="D41" s="445" t="s">
        <v>537</v>
      </c>
      <c r="E41" s="568"/>
      <c r="F41" s="568"/>
      <c r="G41" s="568"/>
      <c r="H41" s="568"/>
      <c r="I41" s="568"/>
      <c r="J41" s="568"/>
      <c r="K41" s="568"/>
      <c r="L41" s="568"/>
      <c r="M41" s="568"/>
      <c r="N41" s="569"/>
      <c r="O41" s="71"/>
      <c r="P41" s="95" t="str">
        <f t="shared" si="3"/>
        <v/>
      </c>
      <c r="Q41" s="173"/>
      <c r="R41"/>
      <c r="U41"/>
      <c r="V41"/>
      <c r="W41"/>
      <c r="X41"/>
      <c r="Y41"/>
      <c r="Z41"/>
      <c r="AA41"/>
      <c r="AB41"/>
    </row>
    <row r="42" spans="1:28" ht="34.5" customHeight="1" x14ac:dyDescent="0.2">
      <c r="A42" s="107"/>
      <c r="B42" s="93"/>
      <c r="C42" s="97" t="s">
        <v>223</v>
      </c>
      <c r="D42" s="445" t="s">
        <v>538</v>
      </c>
      <c r="E42" s="568"/>
      <c r="F42" s="568"/>
      <c r="G42" s="568"/>
      <c r="H42" s="568"/>
      <c r="I42" s="568"/>
      <c r="J42" s="568"/>
      <c r="K42" s="568"/>
      <c r="L42" s="568"/>
      <c r="M42" s="568"/>
      <c r="N42" s="569"/>
      <c r="O42" s="71"/>
      <c r="P42" s="95" t="str">
        <f t="shared" si="3"/>
        <v/>
      </c>
      <c r="Q42" s="173"/>
      <c r="R42"/>
      <c r="U42"/>
      <c r="V42"/>
      <c r="W42"/>
      <c r="X42"/>
      <c r="Y42"/>
      <c r="Z42"/>
      <c r="AA42"/>
      <c r="AB42"/>
    </row>
    <row r="43" spans="1:28" ht="33" customHeight="1" x14ac:dyDescent="0.2">
      <c r="A43" s="106">
        <v>1</v>
      </c>
      <c r="B43" s="93"/>
      <c r="C43" s="97" t="s">
        <v>224</v>
      </c>
      <c r="D43" s="445" t="s">
        <v>273</v>
      </c>
      <c r="E43" s="568"/>
      <c r="F43" s="568"/>
      <c r="G43" s="568"/>
      <c r="H43" s="568"/>
      <c r="I43" s="568"/>
      <c r="J43" s="568"/>
      <c r="K43" s="568"/>
      <c r="L43" s="568"/>
      <c r="M43" s="568"/>
      <c r="N43" s="569"/>
      <c r="O43" s="71"/>
      <c r="P43" s="95" t="str">
        <f t="shared" si="3"/>
        <v/>
      </c>
      <c r="Q43" s="173"/>
      <c r="R43"/>
      <c r="U43"/>
      <c r="V43"/>
      <c r="W43"/>
      <c r="X43"/>
      <c r="Y43"/>
      <c r="Z43"/>
      <c r="AA43"/>
      <c r="AB43"/>
    </row>
    <row r="44" spans="1:28" ht="35.25" customHeight="1" x14ac:dyDescent="0.2">
      <c r="A44" s="107" t="s">
        <v>73</v>
      </c>
      <c r="C44" s="103" t="s">
        <v>225</v>
      </c>
      <c r="D44" s="567" t="s">
        <v>274</v>
      </c>
      <c r="E44" s="470"/>
      <c r="F44" s="470"/>
      <c r="G44" s="470"/>
      <c r="H44" s="470"/>
      <c r="I44" s="470"/>
      <c r="J44" s="470"/>
      <c r="K44" s="470"/>
      <c r="L44" s="470"/>
      <c r="M44" s="470"/>
      <c r="N44" s="470"/>
      <c r="O44" s="71"/>
      <c r="P44" s="95" t="str">
        <f t="shared" si="3"/>
        <v/>
      </c>
      <c r="Q44" s="173"/>
      <c r="R44"/>
      <c r="U44"/>
      <c r="V44"/>
      <c r="W44"/>
      <c r="X44"/>
      <c r="Y44"/>
      <c r="Z44"/>
      <c r="AA44"/>
      <c r="AB44"/>
    </row>
    <row r="45" spans="1:28" ht="35.25" customHeight="1" x14ac:dyDescent="0.2">
      <c r="B45" s="93"/>
      <c r="C45" s="97" t="s">
        <v>226</v>
      </c>
      <c r="D45" s="445" t="s">
        <v>275</v>
      </c>
      <c r="E45" s="568"/>
      <c r="F45" s="568"/>
      <c r="G45" s="568"/>
      <c r="H45" s="568"/>
      <c r="I45" s="568"/>
      <c r="J45" s="568"/>
      <c r="K45" s="568"/>
      <c r="L45" s="568"/>
      <c r="M45" s="568"/>
      <c r="N45" s="569"/>
      <c r="O45" s="71"/>
      <c r="P45" s="95" t="str">
        <f t="shared" si="3"/>
        <v/>
      </c>
      <c r="Q45" s="173"/>
      <c r="R45"/>
      <c r="U45"/>
      <c r="V45"/>
      <c r="W45"/>
      <c r="X45"/>
      <c r="Y45"/>
      <c r="Z45"/>
      <c r="AA45"/>
      <c r="AB45"/>
    </row>
    <row r="46" spans="1:28" ht="18" customHeight="1" x14ac:dyDescent="0.2">
      <c r="C46" s="97" t="s">
        <v>227</v>
      </c>
      <c r="D46" s="445" t="s">
        <v>276</v>
      </c>
      <c r="E46" s="570"/>
      <c r="F46" s="570"/>
      <c r="G46" s="570"/>
      <c r="H46" s="570"/>
      <c r="I46" s="570"/>
      <c r="J46" s="570"/>
      <c r="K46" s="570"/>
      <c r="L46" s="570"/>
      <c r="M46" s="570"/>
      <c r="N46" s="570"/>
      <c r="O46" s="71"/>
      <c r="P46" s="95" t="str">
        <f t="shared" si="3"/>
        <v/>
      </c>
      <c r="Q46" s="173"/>
      <c r="R46"/>
      <c r="U46"/>
      <c r="V46"/>
      <c r="W46"/>
      <c r="X46"/>
      <c r="Y46"/>
      <c r="Z46"/>
      <c r="AA46"/>
      <c r="AB46"/>
    </row>
    <row r="47" spans="1:28" ht="35.25" customHeight="1" x14ac:dyDescent="0.2">
      <c r="A47" s="106">
        <v>1</v>
      </c>
      <c r="C47" s="103" t="s">
        <v>228</v>
      </c>
      <c r="D47" s="445" t="s">
        <v>277</v>
      </c>
      <c r="E47" s="568"/>
      <c r="F47" s="568"/>
      <c r="G47" s="568"/>
      <c r="H47" s="568"/>
      <c r="I47" s="568"/>
      <c r="J47" s="568"/>
      <c r="K47" s="568"/>
      <c r="L47" s="568"/>
      <c r="M47" s="568"/>
      <c r="N47" s="569"/>
      <c r="O47" s="71"/>
      <c r="P47" s="95" t="str">
        <f t="shared" si="3"/>
        <v/>
      </c>
      <c r="R47"/>
      <c r="U47"/>
      <c r="V47"/>
      <c r="W47"/>
      <c r="X47"/>
      <c r="Y47"/>
      <c r="Z47"/>
      <c r="AA47"/>
      <c r="AB47"/>
    </row>
    <row r="48" spans="1:28" ht="57.75" customHeight="1" x14ac:dyDescent="0.2">
      <c r="A48" s="107" t="s">
        <v>69</v>
      </c>
      <c r="C48" s="97" t="s">
        <v>229</v>
      </c>
      <c r="D48" s="565" t="s">
        <v>539</v>
      </c>
      <c r="E48" s="566"/>
      <c r="F48" s="566"/>
      <c r="G48" s="566"/>
      <c r="H48" s="566"/>
      <c r="I48" s="566"/>
      <c r="J48" s="566"/>
      <c r="K48" s="566"/>
      <c r="L48" s="566"/>
      <c r="M48" s="566"/>
      <c r="N48" s="566"/>
      <c r="O48" s="71"/>
      <c r="P48" s="95" t="str">
        <f t="shared" si="3"/>
        <v/>
      </c>
      <c r="Q48" s="171"/>
      <c r="R48"/>
      <c r="U48"/>
      <c r="V48"/>
      <c r="W48"/>
      <c r="X48"/>
      <c r="Y48"/>
      <c r="Z48"/>
      <c r="AA48"/>
      <c r="AB48"/>
    </row>
    <row r="49" spans="1:28" ht="39" customHeight="1" x14ac:dyDescent="0.2">
      <c r="A49" s="106">
        <v>1</v>
      </c>
      <c r="B49" s="93"/>
      <c r="C49" s="97" t="s">
        <v>230</v>
      </c>
      <c r="D49" s="567" t="s">
        <v>540</v>
      </c>
      <c r="E49" s="470"/>
      <c r="F49" s="470"/>
      <c r="G49" s="470"/>
      <c r="H49" s="470"/>
      <c r="I49" s="470"/>
      <c r="J49" s="470"/>
      <c r="K49" s="470"/>
      <c r="L49" s="470"/>
      <c r="M49" s="470"/>
      <c r="N49" s="471"/>
      <c r="O49" s="71"/>
      <c r="P49" s="95" t="str">
        <f t="shared" si="3"/>
        <v/>
      </c>
      <c r="Q49" s="123"/>
      <c r="R49"/>
      <c r="U49"/>
      <c r="V49"/>
      <c r="W49"/>
      <c r="X49"/>
      <c r="Y49"/>
      <c r="Z49"/>
      <c r="AA49"/>
      <c r="AB49"/>
    </row>
    <row r="50" spans="1:28" ht="19.5" customHeight="1" x14ac:dyDescent="0.2">
      <c r="A50" s="107" t="s">
        <v>73</v>
      </c>
      <c r="C50" s="580" t="s">
        <v>278</v>
      </c>
      <c r="D50" s="470"/>
      <c r="E50" s="470"/>
      <c r="F50" s="470"/>
      <c r="G50" s="470"/>
      <c r="H50" s="470"/>
      <c r="I50" s="470"/>
      <c r="J50" s="470"/>
      <c r="K50" s="470"/>
      <c r="L50" s="470"/>
      <c r="M50" s="470"/>
      <c r="N50" s="470"/>
      <c r="O50" s="347"/>
      <c r="P50" s="344"/>
      <c r="Q50" s="99"/>
      <c r="R50"/>
      <c r="U50"/>
      <c r="V50"/>
      <c r="W50"/>
      <c r="X50"/>
      <c r="Y50"/>
      <c r="Z50"/>
      <c r="AA50"/>
      <c r="AB50"/>
    </row>
    <row r="51" spans="1:28" ht="25.5" customHeight="1" x14ac:dyDescent="0.2">
      <c r="A51" s="107" t="s">
        <v>69</v>
      </c>
      <c r="B51" s="93"/>
      <c r="C51" s="581" t="s">
        <v>17</v>
      </c>
      <c r="D51" s="470"/>
      <c r="E51" s="470"/>
      <c r="F51" s="470"/>
      <c r="G51" s="470"/>
      <c r="H51" s="470"/>
      <c r="I51" s="470"/>
      <c r="J51" s="470"/>
      <c r="K51" s="470"/>
      <c r="L51" s="470"/>
      <c r="M51" s="470"/>
      <c r="N51" s="470"/>
      <c r="O51" s="345"/>
      <c r="Q51" s="359"/>
      <c r="R51"/>
      <c r="U51"/>
      <c r="V51"/>
      <c r="W51"/>
      <c r="X51"/>
      <c r="Y51"/>
      <c r="Z51"/>
      <c r="AA51"/>
      <c r="AB51"/>
    </row>
    <row r="52" spans="1:28" ht="21.75" customHeight="1" x14ac:dyDescent="0.25">
      <c r="A52" s="106">
        <v>1</v>
      </c>
      <c r="B52" s="93"/>
      <c r="C52" s="100" t="s">
        <v>264</v>
      </c>
      <c r="D52" s="576" t="s">
        <v>74</v>
      </c>
      <c r="E52" s="577"/>
      <c r="F52" s="577"/>
      <c r="G52" s="577"/>
      <c r="H52" s="577"/>
      <c r="I52" s="577"/>
      <c r="J52" s="577"/>
      <c r="K52" s="577"/>
      <c r="L52" s="577"/>
      <c r="M52" s="577"/>
      <c r="N52" s="578"/>
      <c r="O52" s="101" t="s">
        <v>265</v>
      </c>
      <c r="P52" s="101" t="s">
        <v>266</v>
      </c>
      <c r="Q52" s="173"/>
      <c r="R52"/>
      <c r="U52"/>
      <c r="V52"/>
      <c r="W52"/>
      <c r="X52"/>
      <c r="Y52"/>
      <c r="Z52"/>
      <c r="AA52"/>
      <c r="AB52"/>
    </row>
    <row r="53" spans="1:28" ht="34.5" customHeight="1" x14ac:dyDescent="0.2">
      <c r="A53" s="106">
        <v>1</v>
      </c>
      <c r="C53" s="94" t="s">
        <v>232</v>
      </c>
      <c r="D53" s="601" t="s">
        <v>279</v>
      </c>
      <c r="E53" s="595"/>
      <c r="F53" s="595"/>
      <c r="G53" s="595"/>
      <c r="H53" s="595"/>
      <c r="I53" s="595"/>
      <c r="J53" s="595"/>
      <c r="K53" s="595"/>
      <c r="L53" s="595"/>
      <c r="M53" s="595"/>
      <c r="N53" s="595"/>
      <c r="O53" s="71"/>
      <c r="P53" s="95" t="str">
        <f t="shared" ref="P53:P60" si="4">IF(O53="","",IF(O53="Yes","Pass",IF(O53="No","Fail","N/A")))</f>
        <v/>
      </c>
      <c r="Q53" s="173"/>
      <c r="R53"/>
      <c r="U53"/>
      <c r="V53"/>
      <c r="W53"/>
      <c r="X53"/>
      <c r="Y53"/>
      <c r="Z53"/>
      <c r="AA53"/>
      <c r="AB53"/>
    </row>
    <row r="54" spans="1:28" ht="60.75" customHeight="1" x14ac:dyDescent="0.2">
      <c r="A54" s="106">
        <v>1</v>
      </c>
      <c r="C54" s="94" t="s">
        <v>233</v>
      </c>
      <c r="D54" s="601" t="s">
        <v>457</v>
      </c>
      <c r="E54" s="605"/>
      <c r="F54" s="605"/>
      <c r="G54" s="605"/>
      <c r="H54" s="605"/>
      <c r="I54" s="605"/>
      <c r="J54" s="605"/>
      <c r="K54" s="605"/>
      <c r="L54" s="605"/>
      <c r="M54" s="605"/>
      <c r="N54" s="606"/>
      <c r="O54" s="71"/>
      <c r="P54" s="95" t="str">
        <f t="shared" si="4"/>
        <v/>
      </c>
      <c r="Q54" s="173"/>
      <c r="R54"/>
      <c r="U54"/>
      <c r="V54"/>
      <c r="W54"/>
      <c r="X54"/>
      <c r="Y54"/>
      <c r="Z54"/>
      <c r="AA54"/>
      <c r="AB54"/>
    </row>
    <row r="55" spans="1:28" ht="38.25" customHeight="1" x14ac:dyDescent="0.2">
      <c r="A55" s="106">
        <v>1</v>
      </c>
      <c r="B55" s="107" t="s">
        <v>70</v>
      </c>
      <c r="C55" s="94" t="s">
        <v>458</v>
      </c>
      <c r="D55" s="602" t="s">
        <v>454</v>
      </c>
      <c r="E55" s="603"/>
      <c r="F55" s="603"/>
      <c r="G55" s="603"/>
      <c r="H55" s="603"/>
      <c r="I55" s="603"/>
      <c r="J55" s="603"/>
      <c r="K55" s="603"/>
      <c r="L55" s="603"/>
      <c r="M55" s="603"/>
      <c r="N55" s="604"/>
      <c r="O55" s="71"/>
      <c r="P55" s="95" t="str">
        <f t="shared" si="4"/>
        <v/>
      </c>
      <c r="Q55" s="173"/>
      <c r="R55"/>
      <c r="U55"/>
      <c r="V55"/>
      <c r="W55"/>
      <c r="X55"/>
      <c r="Y55"/>
      <c r="Z55"/>
      <c r="AA55"/>
      <c r="AB55"/>
    </row>
    <row r="56" spans="1:28" ht="68.25" customHeight="1" x14ac:dyDescent="0.2">
      <c r="A56" s="107" t="s">
        <v>73</v>
      </c>
      <c r="C56" s="94" t="s">
        <v>234</v>
      </c>
      <c r="D56" s="594" t="s">
        <v>541</v>
      </c>
      <c r="E56" s="595"/>
      <c r="F56" s="595"/>
      <c r="G56" s="595"/>
      <c r="H56" s="595"/>
      <c r="I56" s="595"/>
      <c r="J56" s="595"/>
      <c r="K56" s="595"/>
      <c r="L56" s="595"/>
      <c r="M56" s="595"/>
      <c r="N56" s="596"/>
      <c r="O56" s="71"/>
      <c r="P56" s="95" t="str">
        <f t="shared" si="4"/>
        <v/>
      </c>
      <c r="Q56" s="173"/>
      <c r="R56"/>
      <c r="U56"/>
      <c r="V56"/>
      <c r="W56"/>
      <c r="X56"/>
      <c r="Y56"/>
      <c r="Z56"/>
      <c r="AA56"/>
      <c r="AB56"/>
    </row>
    <row r="57" spans="1:28" ht="31.5" customHeight="1" x14ac:dyDescent="0.2">
      <c r="B57" s="93"/>
      <c r="C57" s="94" t="s">
        <v>235</v>
      </c>
      <c r="D57" s="602" t="s">
        <v>459</v>
      </c>
      <c r="E57" s="603"/>
      <c r="F57" s="603"/>
      <c r="G57" s="603"/>
      <c r="H57" s="603"/>
      <c r="I57" s="603"/>
      <c r="J57" s="603"/>
      <c r="K57" s="603"/>
      <c r="L57" s="603"/>
      <c r="M57" s="603"/>
      <c r="N57" s="604"/>
      <c r="O57" s="71"/>
      <c r="P57" s="95" t="str">
        <f t="shared" si="4"/>
        <v/>
      </c>
      <c r="Q57" s="173"/>
      <c r="R57"/>
      <c r="U57"/>
      <c r="V57"/>
      <c r="W57"/>
      <c r="X57"/>
      <c r="Y57"/>
      <c r="Z57"/>
      <c r="AA57"/>
      <c r="AB57"/>
    </row>
    <row r="58" spans="1:28" ht="40.5" customHeight="1" x14ac:dyDescent="0.2">
      <c r="C58" s="104" t="s">
        <v>460</v>
      </c>
      <c r="D58" s="597" t="s">
        <v>455</v>
      </c>
      <c r="E58" s="595"/>
      <c r="F58" s="595"/>
      <c r="G58" s="595"/>
      <c r="H58" s="595"/>
      <c r="I58" s="595"/>
      <c r="J58" s="595"/>
      <c r="K58" s="595"/>
      <c r="L58" s="595"/>
      <c r="M58" s="595"/>
      <c r="N58" s="596"/>
      <c r="O58" s="71"/>
      <c r="P58" s="95" t="str">
        <f t="shared" si="4"/>
        <v/>
      </c>
      <c r="Q58" s="173"/>
      <c r="R58"/>
      <c r="U58"/>
      <c r="V58"/>
      <c r="W58"/>
      <c r="X58"/>
      <c r="Y58"/>
      <c r="Z58"/>
      <c r="AA58"/>
      <c r="AB58"/>
    </row>
    <row r="59" spans="1:28" ht="30" customHeight="1" x14ac:dyDescent="0.2">
      <c r="A59" s="107" t="s">
        <v>70</v>
      </c>
      <c r="C59" s="104" t="s">
        <v>236</v>
      </c>
      <c r="D59" s="598" t="s">
        <v>456</v>
      </c>
      <c r="E59" s="599"/>
      <c r="F59" s="599"/>
      <c r="G59" s="599"/>
      <c r="H59" s="599"/>
      <c r="I59" s="599"/>
      <c r="J59" s="599"/>
      <c r="K59" s="599"/>
      <c r="L59" s="599"/>
      <c r="M59" s="599"/>
      <c r="N59" s="600"/>
      <c r="O59" s="71"/>
      <c r="P59" s="95" t="str">
        <f t="shared" si="4"/>
        <v/>
      </c>
      <c r="Q59" s="173"/>
      <c r="R59"/>
      <c r="U59"/>
      <c r="V59"/>
      <c r="W59"/>
      <c r="X59"/>
      <c r="Y59"/>
      <c r="Z59"/>
      <c r="AA59"/>
      <c r="AB59"/>
    </row>
    <row r="60" spans="1:28" ht="30" customHeight="1" x14ac:dyDescent="0.2">
      <c r="A60" s="107" t="s">
        <v>70</v>
      </c>
      <c r="B60" s="93"/>
      <c r="C60" s="104" t="s">
        <v>237</v>
      </c>
      <c r="D60" s="598" t="s">
        <v>280</v>
      </c>
      <c r="E60" s="599"/>
      <c r="F60" s="599"/>
      <c r="G60" s="599"/>
      <c r="H60" s="599"/>
      <c r="I60" s="599"/>
      <c r="J60" s="599"/>
      <c r="K60" s="599"/>
      <c r="L60" s="599"/>
      <c r="M60" s="599"/>
      <c r="N60" s="600"/>
      <c r="O60" s="71"/>
      <c r="P60" s="95" t="str">
        <f t="shared" si="4"/>
        <v/>
      </c>
      <c r="Q60" s="171"/>
      <c r="R60"/>
      <c r="U60"/>
      <c r="V60"/>
      <c r="W60"/>
      <c r="X60"/>
      <c r="Y60"/>
      <c r="Z60"/>
      <c r="AA60"/>
      <c r="AB60"/>
    </row>
    <row r="61" spans="1:28" ht="22.5" customHeight="1" x14ac:dyDescent="0.2">
      <c r="A61" s="107" t="s">
        <v>69</v>
      </c>
      <c r="B61" s="107" t="s">
        <v>69</v>
      </c>
      <c r="C61" s="580" t="s">
        <v>281</v>
      </c>
      <c r="D61" s="470"/>
      <c r="E61" s="470"/>
      <c r="F61" s="470"/>
      <c r="G61" s="470"/>
      <c r="H61" s="470"/>
      <c r="I61" s="470"/>
      <c r="J61" s="470"/>
      <c r="K61" s="470"/>
      <c r="L61" s="470"/>
      <c r="M61" s="470"/>
      <c r="N61" s="470"/>
      <c r="O61" s="347"/>
      <c r="P61" s="345"/>
      <c r="Q61" s="172"/>
      <c r="R61"/>
      <c r="U61"/>
      <c r="V61"/>
      <c r="W61"/>
      <c r="X61"/>
      <c r="Y61"/>
      <c r="Z61"/>
      <c r="AA61"/>
      <c r="AB61"/>
    </row>
    <row r="62" spans="1:28" ht="28.5" customHeight="1" x14ac:dyDescent="0.2">
      <c r="A62" s="107"/>
      <c r="B62" s="147"/>
      <c r="C62" s="581" t="s">
        <v>17</v>
      </c>
      <c r="D62" s="470"/>
      <c r="E62" s="470"/>
      <c r="F62" s="470"/>
      <c r="G62" s="470"/>
      <c r="H62" s="470"/>
      <c r="I62" s="470"/>
      <c r="J62" s="470"/>
      <c r="K62" s="470"/>
      <c r="L62" s="470"/>
      <c r="M62" s="470"/>
      <c r="N62" s="470"/>
      <c r="O62" s="345"/>
      <c r="Q62" s="171"/>
      <c r="R62"/>
      <c r="U62"/>
      <c r="V62"/>
      <c r="W62"/>
      <c r="X62"/>
      <c r="Y62"/>
      <c r="Z62"/>
      <c r="AA62"/>
      <c r="AB62"/>
    </row>
    <row r="63" spans="1:28" ht="30" customHeight="1" x14ac:dyDescent="0.25">
      <c r="A63" s="107" t="s">
        <v>70</v>
      </c>
      <c r="B63" s="93"/>
      <c r="C63" s="100" t="s">
        <v>264</v>
      </c>
      <c r="D63" s="573" t="s">
        <v>75</v>
      </c>
      <c r="E63" s="574"/>
      <c r="F63" s="574"/>
      <c r="G63" s="574"/>
      <c r="H63" s="574"/>
      <c r="I63" s="574"/>
      <c r="J63" s="574"/>
      <c r="K63" s="574"/>
      <c r="L63" s="574"/>
      <c r="M63" s="574"/>
      <c r="N63" s="440"/>
      <c r="O63" s="101" t="s">
        <v>265</v>
      </c>
      <c r="P63" s="101" t="s">
        <v>266</v>
      </c>
      <c r="Q63" s="359"/>
      <c r="R63"/>
      <c r="U63"/>
      <c r="V63"/>
      <c r="W63"/>
      <c r="X63"/>
      <c r="Y63"/>
      <c r="Z63"/>
      <c r="AA63"/>
      <c r="AB63"/>
    </row>
    <row r="64" spans="1:28" ht="30" customHeight="1" x14ac:dyDescent="0.2">
      <c r="A64" s="107" t="s">
        <v>70</v>
      </c>
      <c r="B64" s="93"/>
      <c r="C64" s="94" t="s">
        <v>239</v>
      </c>
      <c r="D64" s="567" t="s">
        <v>461</v>
      </c>
      <c r="E64" s="470"/>
      <c r="F64" s="470"/>
      <c r="G64" s="470"/>
      <c r="H64" s="470"/>
      <c r="I64" s="470"/>
      <c r="J64" s="470"/>
      <c r="K64" s="470"/>
      <c r="L64" s="470"/>
      <c r="M64" s="470"/>
      <c r="N64" s="471"/>
      <c r="O64" s="71"/>
      <c r="P64" s="95" t="str">
        <f t="shared" ref="P64:P69" si="5">IF(O64="","",IF(O64="Yes","Pass",IF(O64="No","Fail","N/A")))</f>
        <v/>
      </c>
      <c r="Q64" s="173"/>
      <c r="R64"/>
      <c r="U64"/>
      <c r="V64"/>
      <c r="W64"/>
      <c r="X64"/>
      <c r="Y64"/>
      <c r="Z64"/>
      <c r="AA64"/>
      <c r="AB64"/>
    </row>
    <row r="65" spans="1:28" ht="33.75" customHeight="1" x14ac:dyDescent="0.2">
      <c r="A65" s="107" t="s">
        <v>76</v>
      </c>
      <c r="B65" s="93"/>
      <c r="C65" s="94" t="s">
        <v>240</v>
      </c>
      <c r="D65" s="567" t="s">
        <v>282</v>
      </c>
      <c r="E65" s="470"/>
      <c r="F65" s="470"/>
      <c r="G65" s="470"/>
      <c r="H65" s="470"/>
      <c r="I65" s="470"/>
      <c r="J65" s="470"/>
      <c r="K65" s="470"/>
      <c r="L65" s="470"/>
      <c r="M65" s="470"/>
      <c r="N65" s="471"/>
      <c r="O65" s="71"/>
      <c r="P65" s="95" t="str">
        <f t="shared" si="5"/>
        <v/>
      </c>
      <c r="Q65" s="173"/>
      <c r="R65"/>
      <c r="U65"/>
      <c r="V65"/>
      <c r="W65"/>
      <c r="X65"/>
      <c r="Y65"/>
      <c r="Z65"/>
      <c r="AA65"/>
      <c r="AB65"/>
    </row>
    <row r="66" spans="1:28" ht="49.5" customHeight="1" x14ac:dyDescent="0.2">
      <c r="A66" s="106">
        <v>1</v>
      </c>
      <c r="B66" s="93"/>
      <c r="C66" s="94" t="s">
        <v>241</v>
      </c>
      <c r="D66" s="567" t="s">
        <v>462</v>
      </c>
      <c r="E66" s="470"/>
      <c r="F66" s="470"/>
      <c r="G66" s="470"/>
      <c r="H66" s="470"/>
      <c r="I66" s="470"/>
      <c r="J66" s="470"/>
      <c r="K66" s="470"/>
      <c r="L66" s="470"/>
      <c r="M66" s="470"/>
      <c r="N66" s="471"/>
      <c r="O66" s="71"/>
      <c r="P66" s="95" t="str">
        <f t="shared" si="5"/>
        <v/>
      </c>
      <c r="Q66" s="173"/>
      <c r="R66"/>
      <c r="U66"/>
      <c r="V66"/>
      <c r="W66"/>
      <c r="X66"/>
      <c r="Y66"/>
      <c r="Z66"/>
      <c r="AA66"/>
      <c r="AB66"/>
    </row>
    <row r="67" spans="1:28" ht="35.25" customHeight="1" x14ac:dyDescent="0.2">
      <c r="A67" s="107" t="s">
        <v>73</v>
      </c>
      <c r="C67" s="148" t="s">
        <v>542</v>
      </c>
      <c r="D67" s="593" t="s">
        <v>464</v>
      </c>
      <c r="E67" s="470"/>
      <c r="F67" s="470"/>
      <c r="G67" s="470"/>
      <c r="H67" s="470"/>
      <c r="I67" s="470"/>
      <c r="J67" s="470"/>
      <c r="K67" s="470"/>
      <c r="L67" s="470"/>
      <c r="M67" s="470"/>
      <c r="N67" s="470"/>
      <c r="O67" s="71"/>
      <c r="P67" s="95" t="str">
        <f t="shared" si="5"/>
        <v/>
      </c>
      <c r="Q67" s="173"/>
      <c r="R67"/>
      <c r="U67"/>
      <c r="V67"/>
      <c r="W67"/>
      <c r="X67"/>
      <c r="Y67"/>
      <c r="Z67"/>
      <c r="AA67"/>
      <c r="AB67"/>
    </row>
    <row r="68" spans="1:28" ht="36" customHeight="1" x14ac:dyDescent="0.2">
      <c r="B68" s="93"/>
      <c r="C68" s="94" t="s">
        <v>242</v>
      </c>
      <c r="D68" s="469" t="s">
        <v>546</v>
      </c>
      <c r="E68" s="470"/>
      <c r="F68" s="470"/>
      <c r="G68" s="470"/>
      <c r="H68" s="470"/>
      <c r="I68" s="470"/>
      <c r="J68" s="470"/>
      <c r="K68" s="470"/>
      <c r="L68" s="470"/>
      <c r="M68" s="470"/>
      <c r="N68" s="471"/>
      <c r="O68" s="71"/>
      <c r="P68" s="95" t="str">
        <f t="shared" si="5"/>
        <v/>
      </c>
      <c r="Q68" s="173"/>
      <c r="R68"/>
      <c r="U68"/>
      <c r="V68"/>
      <c r="W68"/>
      <c r="X68"/>
      <c r="Y68"/>
      <c r="Z68"/>
      <c r="AA68"/>
      <c r="AB68"/>
    </row>
    <row r="69" spans="1:28" ht="52.5" customHeight="1" x14ac:dyDescent="0.2">
      <c r="C69" s="94" t="s">
        <v>243</v>
      </c>
      <c r="D69" s="469" t="s">
        <v>547</v>
      </c>
      <c r="E69" s="470"/>
      <c r="F69" s="470"/>
      <c r="G69" s="470"/>
      <c r="H69" s="470"/>
      <c r="I69" s="470"/>
      <c r="J69" s="470"/>
      <c r="K69" s="470"/>
      <c r="L69" s="470"/>
      <c r="M69" s="470"/>
      <c r="N69" s="471"/>
      <c r="O69" s="71"/>
      <c r="P69" s="95" t="str">
        <f t="shared" si="5"/>
        <v/>
      </c>
      <c r="Q69" s="173"/>
      <c r="R69"/>
      <c r="U69"/>
      <c r="V69"/>
      <c r="W69"/>
      <c r="X69"/>
      <c r="Y69"/>
      <c r="Z69"/>
      <c r="AA69"/>
      <c r="AB69"/>
    </row>
    <row r="70" spans="1:28" ht="21" customHeight="1" x14ac:dyDescent="0.25">
      <c r="A70" s="107" t="s">
        <v>70</v>
      </c>
      <c r="C70" s="608" t="s">
        <v>283</v>
      </c>
      <c r="D70" s="486"/>
      <c r="E70" s="486"/>
      <c r="F70" s="486"/>
      <c r="G70" s="486"/>
      <c r="H70" s="486"/>
      <c r="I70" s="486"/>
      <c r="J70" s="486"/>
      <c r="K70" s="486"/>
      <c r="L70" s="486"/>
      <c r="M70" s="486"/>
      <c r="N70" s="486"/>
      <c r="O70" s="348"/>
      <c r="P70" s="342"/>
      <c r="Q70" s="173"/>
      <c r="R70"/>
      <c r="U70"/>
      <c r="V70"/>
      <c r="W70"/>
      <c r="X70"/>
      <c r="Y70"/>
      <c r="Z70"/>
      <c r="AA70"/>
      <c r="AB70"/>
    </row>
    <row r="71" spans="1:28" ht="29.25" customHeight="1" x14ac:dyDescent="0.25">
      <c r="A71" s="107" t="s">
        <v>285</v>
      </c>
      <c r="B71" s="93"/>
      <c r="C71" s="581" t="s">
        <v>17</v>
      </c>
      <c r="D71" s="470"/>
      <c r="E71" s="470"/>
      <c r="F71" s="470"/>
      <c r="G71" s="470"/>
      <c r="H71" s="470"/>
      <c r="I71" s="470"/>
      <c r="J71" s="470"/>
      <c r="K71" s="470"/>
      <c r="L71" s="470"/>
      <c r="M71" s="470"/>
      <c r="N71" s="470"/>
      <c r="O71" s="345"/>
      <c r="Q71" s="352"/>
      <c r="R71"/>
      <c r="U71"/>
      <c r="V71"/>
      <c r="W71"/>
      <c r="X71"/>
      <c r="Y71"/>
      <c r="Z71"/>
      <c r="AA71"/>
      <c r="AB71"/>
    </row>
    <row r="72" spans="1:28" ht="21.75" customHeight="1" x14ac:dyDescent="0.25">
      <c r="A72" s="107" t="s">
        <v>76</v>
      </c>
      <c r="B72" s="107" t="s">
        <v>286</v>
      </c>
      <c r="C72" s="100" t="s">
        <v>264</v>
      </c>
      <c r="D72" s="573" t="s">
        <v>77</v>
      </c>
      <c r="E72" s="574"/>
      <c r="F72" s="574"/>
      <c r="G72" s="574"/>
      <c r="H72" s="574"/>
      <c r="I72" s="574"/>
      <c r="J72" s="574"/>
      <c r="K72" s="574"/>
      <c r="L72" s="574"/>
      <c r="M72" s="574"/>
      <c r="N72" s="574"/>
      <c r="O72" s="101" t="s">
        <v>265</v>
      </c>
      <c r="P72" s="101" t="s">
        <v>266</v>
      </c>
      <c r="Q72" s="172"/>
      <c r="R72"/>
      <c r="U72"/>
      <c r="V72"/>
      <c r="W72"/>
      <c r="X72"/>
      <c r="Y72"/>
      <c r="Z72"/>
      <c r="AA72"/>
      <c r="AB72"/>
    </row>
    <row r="73" spans="1:28" ht="36" customHeight="1" x14ac:dyDescent="0.2">
      <c r="A73" s="107" t="s">
        <v>287</v>
      </c>
      <c r="B73" s="107" t="s">
        <v>80</v>
      </c>
      <c r="C73" s="102" t="s">
        <v>245</v>
      </c>
      <c r="D73" s="607" t="s">
        <v>284</v>
      </c>
      <c r="E73" s="470"/>
      <c r="F73" s="470"/>
      <c r="G73" s="470"/>
      <c r="H73" s="470"/>
      <c r="I73" s="470"/>
      <c r="J73" s="470"/>
      <c r="K73" s="470"/>
      <c r="L73" s="470"/>
      <c r="M73" s="470"/>
      <c r="N73" s="470"/>
      <c r="O73" s="71"/>
      <c r="P73" s="95" t="str">
        <f>IF(O73="","",IF(O73="Yes","Fail",IF(O73="No","Pass","N/A")))</f>
        <v/>
      </c>
      <c r="R73"/>
      <c r="U73"/>
      <c r="V73"/>
      <c r="W73"/>
      <c r="X73"/>
      <c r="Y73"/>
      <c r="Z73"/>
      <c r="AA73"/>
      <c r="AB73"/>
    </row>
    <row r="74" spans="1:28" ht="189" customHeight="1" x14ac:dyDescent="0.2">
      <c r="A74" s="107" t="s">
        <v>288</v>
      </c>
      <c r="B74" s="93"/>
      <c r="C74" s="102" t="s">
        <v>246</v>
      </c>
      <c r="D74" s="609" t="s">
        <v>552</v>
      </c>
      <c r="E74" s="470"/>
      <c r="F74" s="470"/>
      <c r="G74" s="470"/>
      <c r="H74" s="470"/>
      <c r="I74" s="470"/>
      <c r="J74" s="470"/>
      <c r="K74" s="470"/>
      <c r="L74" s="470"/>
      <c r="M74" s="470"/>
      <c r="N74" s="470"/>
      <c r="O74" s="71"/>
      <c r="P74" s="95" t="str">
        <f>IF(O74="","",IF(O74="Yes","Fail",IF(O74="No","Pass","N/A")))</f>
        <v/>
      </c>
      <c r="Q74" s="359"/>
      <c r="R74"/>
      <c r="U74"/>
      <c r="V74"/>
      <c r="W74"/>
      <c r="X74"/>
      <c r="Y74"/>
      <c r="Z74"/>
      <c r="AA74"/>
      <c r="AB74"/>
    </row>
    <row r="75" spans="1:28" ht="94.5" customHeight="1" x14ac:dyDescent="0.2">
      <c r="A75" s="107" t="s">
        <v>81</v>
      </c>
      <c r="B75" s="93"/>
      <c r="C75" s="102" t="s">
        <v>247</v>
      </c>
      <c r="D75" s="609" t="s">
        <v>551</v>
      </c>
      <c r="E75" s="470"/>
      <c r="F75" s="470"/>
      <c r="G75" s="470"/>
      <c r="H75" s="470"/>
      <c r="I75" s="470"/>
      <c r="J75" s="470"/>
      <c r="K75" s="470"/>
      <c r="L75" s="470"/>
      <c r="M75" s="470"/>
      <c r="N75" s="470"/>
      <c r="O75" s="71"/>
      <c r="P75" s="95" t="str">
        <f t="shared" ref="P75:P82" si="6">IF(O75="","",IF(O75="Yes","Pass",IF(O75="No","Fail","N/A")))</f>
        <v/>
      </c>
      <c r="Q75" s="173"/>
      <c r="R75"/>
      <c r="U75"/>
      <c r="V75"/>
      <c r="W75"/>
      <c r="X75"/>
      <c r="Y75"/>
      <c r="Z75"/>
      <c r="AA75"/>
      <c r="AB75"/>
    </row>
    <row r="76" spans="1:28" ht="126" customHeight="1" x14ac:dyDescent="0.2">
      <c r="A76" s="107" t="s">
        <v>69</v>
      </c>
      <c r="B76" s="93"/>
      <c r="C76" s="102" t="s">
        <v>248</v>
      </c>
      <c r="D76" s="579" t="s">
        <v>550</v>
      </c>
      <c r="E76" s="572"/>
      <c r="F76" s="572"/>
      <c r="G76" s="572"/>
      <c r="H76" s="572"/>
      <c r="I76" s="572"/>
      <c r="J76" s="572"/>
      <c r="K76" s="572"/>
      <c r="L76" s="572"/>
      <c r="M76" s="572"/>
      <c r="N76" s="572"/>
      <c r="O76" s="71"/>
      <c r="P76" s="95" t="str">
        <f t="shared" si="6"/>
        <v/>
      </c>
      <c r="Q76" s="173"/>
      <c r="R76"/>
      <c r="U76"/>
      <c r="V76"/>
      <c r="W76"/>
      <c r="X76"/>
      <c r="Y76"/>
      <c r="Z76"/>
      <c r="AA76"/>
      <c r="AB76"/>
    </row>
    <row r="77" spans="1:28" ht="78" customHeight="1" x14ac:dyDescent="0.2">
      <c r="A77" s="107" t="s">
        <v>288</v>
      </c>
      <c r="B77" s="93"/>
      <c r="C77" s="102" t="s">
        <v>249</v>
      </c>
      <c r="D77" s="579" t="s">
        <v>289</v>
      </c>
      <c r="E77" s="572"/>
      <c r="F77" s="572"/>
      <c r="G77" s="572"/>
      <c r="H77" s="572"/>
      <c r="I77" s="572"/>
      <c r="J77" s="572"/>
      <c r="K77" s="572"/>
      <c r="L77" s="572"/>
      <c r="M77" s="572"/>
      <c r="N77" s="582"/>
      <c r="O77" s="71"/>
      <c r="P77" s="95" t="str">
        <f t="shared" si="6"/>
        <v/>
      </c>
      <c r="Q77" s="173"/>
      <c r="R77"/>
      <c r="U77"/>
      <c r="V77"/>
      <c r="W77"/>
      <c r="X77"/>
      <c r="Y77"/>
      <c r="Z77"/>
      <c r="AA77"/>
      <c r="AB77"/>
    </row>
    <row r="78" spans="1:28" ht="108.75" customHeight="1" x14ac:dyDescent="0.2">
      <c r="A78" s="107" t="s">
        <v>73</v>
      </c>
      <c r="B78" s="93"/>
      <c r="C78" s="102" t="s">
        <v>250</v>
      </c>
      <c r="D78" s="579" t="s">
        <v>543</v>
      </c>
      <c r="E78" s="572"/>
      <c r="F78" s="572"/>
      <c r="G78" s="572"/>
      <c r="H78" s="572"/>
      <c r="I78" s="572"/>
      <c r="J78" s="572"/>
      <c r="K78" s="572"/>
      <c r="L78" s="572"/>
      <c r="M78" s="572"/>
      <c r="N78" s="582"/>
      <c r="O78" s="71"/>
      <c r="P78" s="95" t="str">
        <f t="shared" si="6"/>
        <v/>
      </c>
      <c r="Q78" s="173"/>
      <c r="R78"/>
      <c r="U78"/>
      <c r="V78"/>
      <c r="W78"/>
      <c r="X78"/>
      <c r="Y78"/>
      <c r="Z78"/>
      <c r="AA78"/>
      <c r="AB78"/>
    </row>
    <row r="79" spans="1:28" ht="36" customHeight="1" x14ac:dyDescent="0.2">
      <c r="A79" s="107" t="s">
        <v>81</v>
      </c>
      <c r="B79" s="93"/>
      <c r="C79" s="102" t="s">
        <v>251</v>
      </c>
      <c r="D79" s="567" t="s">
        <v>290</v>
      </c>
      <c r="E79" s="572"/>
      <c r="F79" s="572"/>
      <c r="G79" s="572"/>
      <c r="H79" s="572"/>
      <c r="I79" s="572"/>
      <c r="J79" s="572"/>
      <c r="K79" s="572"/>
      <c r="L79" s="572"/>
      <c r="M79" s="572"/>
      <c r="N79" s="582"/>
      <c r="O79" s="71"/>
      <c r="P79" s="95" t="str">
        <f t="shared" si="6"/>
        <v/>
      </c>
      <c r="Q79" s="173"/>
      <c r="R79"/>
      <c r="U79"/>
      <c r="V79"/>
      <c r="W79"/>
      <c r="X79"/>
      <c r="Y79"/>
      <c r="Z79"/>
      <c r="AA79"/>
      <c r="AB79"/>
    </row>
    <row r="80" spans="1:28" ht="91.5" customHeight="1" x14ac:dyDescent="0.2">
      <c r="A80" s="107" t="s">
        <v>81</v>
      </c>
      <c r="B80" s="93"/>
      <c r="C80" s="102" t="s">
        <v>252</v>
      </c>
      <c r="D80" s="579" t="s">
        <v>549</v>
      </c>
      <c r="E80" s="572"/>
      <c r="F80" s="572"/>
      <c r="G80" s="572"/>
      <c r="H80" s="572"/>
      <c r="I80" s="572"/>
      <c r="J80" s="572"/>
      <c r="K80" s="572"/>
      <c r="L80" s="572"/>
      <c r="M80" s="572"/>
      <c r="N80" s="582"/>
      <c r="O80" s="71"/>
      <c r="P80" s="95" t="str">
        <f t="shared" si="6"/>
        <v/>
      </c>
      <c r="Q80" s="173"/>
      <c r="R80"/>
      <c r="U80"/>
      <c r="V80"/>
      <c r="W80"/>
      <c r="X80"/>
      <c r="Y80"/>
      <c r="Z80"/>
      <c r="AA80"/>
      <c r="AB80"/>
    </row>
    <row r="81" spans="1:18" ht="61.5" customHeight="1" x14ac:dyDescent="0.2">
      <c r="A81" s="107" t="s">
        <v>288</v>
      </c>
      <c r="B81" s="93"/>
      <c r="C81" s="102" t="s">
        <v>253</v>
      </c>
      <c r="D81" s="579" t="s">
        <v>291</v>
      </c>
      <c r="E81" s="572"/>
      <c r="F81" s="572"/>
      <c r="G81" s="572"/>
      <c r="H81" s="572"/>
      <c r="I81" s="572"/>
      <c r="J81" s="572"/>
      <c r="K81" s="572"/>
      <c r="L81" s="572"/>
      <c r="M81" s="572"/>
      <c r="N81" s="582"/>
      <c r="O81" s="71"/>
      <c r="P81" s="95" t="str">
        <f t="shared" si="6"/>
        <v/>
      </c>
      <c r="Q81"/>
      <c r="R81"/>
    </row>
    <row r="82" spans="1:18" ht="78.75" customHeight="1" x14ac:dyDescent="0.2">
      <c r="A82" s="106">
        <v>1</v>
      </c>
      <c r="B82" s="93"/>
      <c r="C82" s="102" t="s">
        <v>254</v>
      </c>
      <c r="D82" s="609" t="s">
        <v>548</v>
      </c>
      <c r="E82" s="470"/>
      <c r="F82" s="470"/>
      <c r="G82" s="470"/>
      <c r="H82" s="470"/>
      <c r="I82" s="470"/>
      <c r="J82" s="470"/>
      <c r="K82" s="470"/>
      <c r="L82" s="470"/>
      <c r="M82" s="470"/>
      <c r="N82" s="471"/>
      <c r="O82" s="71"/>
      <c r="P82" s="95" t="str">
        <f t="shared" si="6"/>
        <v/>
      </c>
      <c r="Q82"/>
      <c r="R82"/>
    </row>
    <row r="83" spans="1:18" ht="20.25" customHeight="1" x14ac:dyDescent="0.2">
      <c r="A83" s="107" t="s">
        <v>73</v>
      </c>
      <c r="C83" s="469" t="s">
        <v>292</v>
      </c>
      <c r="D83" s="470"/>
      <c r="E83" s="470"/>
      <c r="F83" s="470"/>
      <c r="G83" s="470"/>
      <c r="H83" s="470"/>
      <c r="I83" s="470"/>
      <c r="J83" s="470"/>
      <c r="K83" s="470"/>
      <c r="L83" s="470"/>
      <c r="M83" s="470"/>
      <c r="N83" s="470"/>
      <c r="O83" s="346"/>
      <c r="P83" s="95"/>
      <c r="Q83"/>
      <c r="R83"/>
    </row>
    <row r="84" spans="1:18" ht="21" customHeight="1" x14ac:dyDescent="0.2">
      <c r="B84" s="93"/>
      <c r="C84" s="581" t="s">
        <v>17</v>
      </c>
      <c r="D84" s="470"/>
      <c r="E84" s="470"/>
      <c r="F84" s="470"/>
      <c r="G84" s="470"/>
      <c r="H84" s="470"/>
      <c r="I84" s="470"/>
      <c r="J84" s="470"/>
      <c r="K84" s="470"/>
      <c r="L84" s="470"/>
      <c r="M84" s="470"/>
      <c r="N84" s="470"/>
      <c r="O84" s="345"/>
      <c r="P84" s="346"/>
      <c r="Q84"/>
      <c r="R84"/>
    </row>
    <row r="85" spans="1:18" ht="18" x14ac:dyDescent="0.2">
      <c r="P85" s="345"/>
      <c r="Q85" s="173"/>
      <c r="R85" s="173"/>
    </row>
    <row r="86" spans="1:18" ht="18" x14ac:dyDescent="0.2">
      <c r="P86" s="105"/>
      <c r="Q86" s="173"/>
      <c r="R86" s="173"/>
    </row>
    <row r="87" spans="1:18" x14ac:dyDescent="0.2">
      <c r="P87" s="105"/>
      <c r="Q87" s="105"/>
      <c r="R87" s="105"/>
    </row>
    <row r="88" spans="1:18" x14ac:dyDescent="0.2">
      <c r="Q88" s="105"/>
      <c r="R88" s="105"/>
    </row>
    <row r="89" spans="1:18" x14ac:dyDescent="0.2">
      <c r="Q89" s="105"/>
      <c r="R89" s="105"/>
    </row>
    <row r="90" spans="1:18" x14ac:dyDescent="0.2">
      <c r="Q90" s="105"/>
      <c r="R90" s="105"/>
    </row>
  </sheetData>
  <sheetProtection algorithmName="SHA-512" hashValue="XtHQvgHYyVKW5gTefiJeG/g8i7wv/X4f7NYr2WdGyAgvSb99QNlasmVh8+BYCiDQUyyzRT9DQZYbtRzuFrNxtg==" saltValue="vYkITErEk9AKTt4Eth4vMQ==" spinCount="100000" sheet="1" objects="1" scenarios="1"/>
  <mergeCells count="83">
    <mergeCell ref="C84:N84"/>
    <mergeCell ref="D69:N69"/>
    <mergeCell ref="C70:N70"/>
    <mergeCell ref="C71:N71"/>
    <mergeCell ref="D82:N82"/>
    <mergeCell ref="C83:N83"/>
    <mergeCell ref="D76:N76"/>
    <mergeCell ref="D37:N37"/>
    <mergeCell ref="D49:N49"/>
    <mergeCell ref="C50:N50"/>
    <mergeCell ref="C51:N51"/>
    <mergeCell ref="D60:N60"/>
    <mergeCell ref="D41:N41"/>
    <mergeCell ref="D47:N47"/>
    <mergeCell ref="D48:N48"/>
    <mergeCell ref="D42:N42"/>
    <mergeCell ref="D40:N40"/>
    <mergeCell ref="D58:N58"/>
    <mergeCell ref="D56:N56"/>
    <mergeCell ref="D57:N57"/>
    <mergeCell ref="C28:N28"/>
    <mergeCell ref="D33:N33"/>
    <mergeCell ref="C34:N34"/>
    <mergeCell ref="C35:N35"/>
    <mergeCell ref="D31:N31"/>
    <mergeCell ref="D15:N15"/>
    <mergeCell ref="D16:N16"/>
    <mergeCell ref="D17:N17"/>
    <mergeCell ref="D22:N22"/>
    <mergeCell ref="C27:N27"/>
    <mergeCell ref="C2:G2"/>
    <mergeCell ref="D14:N14"/>
    <mergeCell ref="D8:N8"/>
    <mergeCell ref="D9:N9"/>
    <mergeCell ref="D10:N10"/>
    <mergeCell ref="D11:N11"/>
    <mergeCell ref="D12:N12"/>
    <mergeCell ref="D13:N13"/>
    <mergeCell ref="E5:G5"/>
    <mergeCell ref="D65:N65"/>
    <mergeCell ref="D32:N32"/>
    <mergeCell ref="D36:N36"/>
    <mergeCell ref="D24:N24"/>
    <mergeCell ref="D25:N25"/>
    <mergeCell ref="D63:N63"/>
    <mergeCell ref="D55:N55"/>
    <mergeCell ref="D39:N39"/>
    <mergeCell ref="D30:N30"/>
    <mergeCell ref="D43:N43"/>
    <mergeCell ref="D44:N44"/>
    <mergeCell ref="D52:N52"/>
    <mergeCell ref="D64:N64"/>
    <mergeCell ref="D59:N59"/>
    <mergeCell ref="D53:N53"/>
    <mergeCell ref="D54:N54"/>
    <mergeCell ref="C61:N61"/>
    <mergeCell ref="C62:N62"/>
    <mergeCell ref="S1:U1"/>
    <mergeCell ref="T4:U4"/>
    <mergeCell ref="D18:N18"/>
    <mergeCell ref="K1:L1"/>
    <mergeCell ref="D19:N19"/>
    <mergeCell ref="C20:N20"/>
    <mergeCell ref="C21:N21"/>
    <mergeCell ref="D23:N23"/>
    <mergeCell ref="D45:N45"/>
    <mergeCell ref="D46:N46"/>
    <mergeCell ref="D29:N29"/>
    <mergeCell ref="D26:N26"/>
    <mergeCell ref="K2:L2"/>
    <mergeCell ref="C1:G1"/>
    <mergeCell ref="D66:N66"/>
    <mergeCell ref="D67:N67"/>
    <mergeCell ref="D81:N81"/>
    <mergeCell ref="D78:N78"/>
    <mergeCell ref="D77:N77"/>
    <mergeCell ref="D79:N79"/>
    <mergeCell ref="D68:N68"/>
    <mergeCell ref="D72:N72"/>
    <mergeCell ref="D73:N73"/>
    <mergeCell ref="D74:N74"/>
    <mergeCell ref="D75:N75"/>
    <mergeCell ref="D80:N80"/>
  </mergeCells>
  <conditionalFormatting sqref="M5">
    <cfRule type="containsText" dxfId="44" priority="4" operator="containsText" text="Fail">
      <formula>NOT(ISERROR(SEARCH("Fail",M5)))</formula>
    </cfRule>
  </conditionalFormatting>
  <conditionalFormatting sqref="P8:R19 P20 P22:R26 P29:R33 Q34:Q46 P36:P37 P39:P49 Q51:Q59 P52:P60 P63:P69 Q63:Q70 P72:P83 Q74:Q80">
    <cfRule type="containsText" dxfId="43" priority="1" operator="containsText" text="Fail">
      <formula>NOT(ISERROR(SEARCH("Fail",P8)))</formula>
    </cfRule>
  </conditionalFormatting>
  <conditionalFormatting sqref="Q85:R86">
    <cfRule type="containsText" dxfId="42" priority="6" operator="containsText" text="Fail">
      <formula>NOT(ISERROR(SEARCH("Fail",Q85)))</formula>
    </cfRule>
  </conditionalFormatting>
  <conditionalFormatting sqref="U1:U3 T4">
    <cfRule type="containsText" dxfId="41" priority="2" operator="containsText" text="Fail">
      <formula>NOT(ISERROR(SEARCH("Fail",T1)))</formula>
    </cfRule>
  </conditionalFormatting>
  <conditionalFormatting sqref="AE9">
    <cfRule type="containsText" dxfId="40" priority="5" operator="containsText" text="Fail">
      <formula>NOT(ISERROR(SEARCH("Fail",AE9)))</formula>
    </cfRule>
  </conditionalFormatting>
  <dataValidations count="4">
    <dataValidation type="whole" operator="greaterThan" allowBlank="1" showInputMessage="1" showErrorMessage="1" sqref="X9:X34" xr:uid="{94F5BE23-18FF-4673-9CD9-8B75D24640DA}">
      <formula1>0</formula1>
    </dataValidation>
    <dataValidation type="date" operator="greaterThan" allowBlank="1" showInputMessage="1" showErrorMessage="1" sqref="W9:W34" xr:uid="{D7EEFBD9-C42D-4253-B3C7-716821967C52}">
      <formula1>36526</formula1>
    </dataValidation>
    <dataValidation type="list" showErrorMessage="1" errorTitle="Invalid Selection" error="Select either Yes, No, or N/A from the dropdown list. Click &quot;Cancel&quot; below, then update selection." sqref="O73:O82 O23:O26 O53:O60 O39:O49 O64:O69 O37 O30:O33 O9:O19" xr:uid="{DE005B50-B8DC-44EC-A695-5776D1C6306E}">
      <formula1>"Yes,No,N/A"</formula1>
    </dataValidation>
    <dataValidation type="decimal" operator="greaterThanOrEqual" allowBlank="1" showInputMessage="1" showErrorMessage="1" errorTitle="Input Error" error="Insert the claimed amount with dollars and cents in $0.00 format. Click &quot;Cancel&quot; below and try again." sqref="Y9:Y34" xr:uid="{1A4C55BD-28CF-4F66-895C-00C196DCEC43}">
      <formula1>0</formula1>
    </dataValidation>
  </dataValidations>
  <pageMargins left="0.7" right="0.7" top="1" bottom="0.75" header="0.3" footer="0.3"/>
  <pageSetup scale="70" fitToHeight="0" orientation="portrait" r:id="rId1"/>
  <headerFooter>
    <oddHeader>&amp;CConfidential QI Report
San Diego County Mental Health Plan
Behavioral Health Services
Fiscal Year 23-24</oddHeader>
    <oddFooter>&amp;LFY 23-24 Medical Record Review Report - Excel - Rev. 7-1-23</oddFooter>
  </headerFooter>
  <colBreaks count="1" manualBreakCount="1">
    <brk id="16" max="84"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32224971-BBE1-4B63-9762-959B735CCDE1}">
          <x14:formula1>
            <xm:f>Validations!$E$4:$E$15</xm:f>
          </x14:formula1>
          <xm:sqref>Z9:Z34</xm:sqref>
        </x14:dataValidation>
        <x14:dataValidation type="list" allowBlank="1" showInputMessage="1" showErrorMessage="1" xr:uid="{7EE32CE8-49A6-4CFB-ABF6-E668EB56C19E}">
          <x14:formula1>
            <xm:f>Validations!$D$4:$D$7</xm:f>
          </x14:formula1>
          <xm:sqref>AA9:AA34</xm:sqref>
        </x14:dataValidation>
        <x14:dataValidation type="list" allowBlank="1" showInputMessage="1" showErrorMessage="1" xr:uid="{247D4121-B261-4E17-A0A2-2FA51EE608D1}">
          <x14:formula1>
            <xm:f>Validations!$C$4:$C$54</xm:f>
          </x14:formula1>
          <xm:sqref>V9:V34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B17A5-E95A-4F76-A48A-8BA043DC45A1}">
  <sheetPr codeName="Sheet15">
    <tabColor theme="3" tint="0.39997558519241921"/>
  </sheetPr>
  <dimension ref="A1:AE90"/>
  <sheetViews>
    <sheetView showGridLines="0" view="pageBreakPreview" zoomScale="92" zoomScaleNormal="80" zoomScaleSheetLayoutView="92" workbookViewId="0">
      <selection activeCell="D12" sqref="D12:N12"/>
    </sheetView>
  </sheetViews>
  <sheetFormatPr defaultColWidth="9.5703125" defaultRowHeight="15" x14ac:dyDescent="0.2"/>
  <cols>
    <col min="1" max="1" width="7.7109375" style="106" customWidth="1"/>
    <col min="2" max="2" width="8.42578125" style="4" customWidth="1"/>
    <col min="3" max="3" width="8.42578125" style="5" customWidth="1"/>
    <col min="4" max="4" width="2.5703125" style="1" customWidth="1"/>
    <col min="5" max="5" width="7.140625" style="1" customWidth="1"/>
    <col min="6" max="6" width="8.5703125" style="1" customWidth="1"/>
    <col min="7" max="7" width="6.42578125" style="1" customWidth="1"/>
    <col min="8" max="8" width="4.7109375" style="1" customWidth="1"/>
    <col min="9" max="9" width="27.28515625" style="1" customWidth="1"/>
    <col min="10" max="10" width="2.5703125" style="1" customWidth="1"/>
    <col min="11" max="11" width="18.140625" style="1" customWidth="1"/>
    <col min="12" max="12" width="3.42578125" style="1" customWidth="1"/>
    <col min="13" max="13" width="12.140625" style="1" customWidth="1"/>
    <col min="14" max="14" width="9.5703125" style="1" customWidth="1"/>
    <col min="15" max="15" width="13.28515625" style="1" customWidth="1"/>
    <col min="16" max="16" width="8.7109375" style="1" hidden="1" customWidth="1"/>
    <col min="17" max="18" width="2.28515625" style="1" customWidth="1"/>
    <col min="19" max="19" width="11.7109375" customWidth="1"/>
    <col min="20" max="20" width="10.42578125" customWidth="1"/>
    <col min="21" max="21" width="13.7109375" style="1" customWidth="1"/>
    <col min="22" max="22" width="23.42578125" style="1" customWidth="1"/>
    <col min="23" max="23" width="12.42578125" style="1" customWidth="1"/>
    <col min="24" max="25" width="9.5703125" style="1"/>
    <col min="26" max="26" width="12.140625" style="1" customWidth="1"/>
    <col min="27" max="27" width="15" style="1" customWidth="1"/>
    <col min="28" max="28" width="24.5703125" style="1" customWidth="1"/>
    <col min="29" max="16384" width="9.5703125" style="1"/>
  </cols>
  <sheetData>
    <row r="1" spans="1:31" s="5" customFormat="1" ht="15.75" x14ac:dyDescent="0.25">
      <c r="A1" s="106"/>
      <c r="B1" s="4"/>
      <c r="C1" s="560" t="s">
        <v>338</v>
      </c>
      <c r="D1" s="561"/>
      <c r="E1" s="561"/>
      <c r="F1" s="561"/>
      <c r="G1" s="562"/>
      <c r="H1"/>
      <c r="I1" s="86" t="s">
        <v>38</v>
      </c>
      <c r="J1" s="153"/>
      <c r="K1" s="560" t="s">
        <v>12</v>
      </c>
      <c r="L1" s="562"/>
      <c r="N1"/>
      <c r="O1"/>
      <c r="P1"/>
      <c r="Q1"/>
      <c r="R1"/>
      <c r="S1" s="560" t="s">
        <v>260</v>
      </c>
      <c r="T1" s="561"/>
      <c r="U1" s="562"/>
      <c r="V1"/>
      <c r="W1"/>
      <c r="X1"/>
      <c r="Y1"/>
      <c r="Z1"/>
      <c r="AA1"/>
      <c r="AB1"/>
    </row>
    <row r="2" spans="1:31" s="5" customFormat="1" ht="15" customHeight="1" x14ac:dyDescent="0.2">
      <c r="A2" s="106"/>
      <c r="B2" s="4"/>
      <c r="C2" s="583">
        <f>'Chart Review Info'!D3</f>
        <v>0</v>
      </c>
      <c r="D2" s="584"/>
      <c r="E2" s="584"/>
      <c r="F2" s="584"/>
      <c r="G2" s="585"/>
      <c r="H2"/>
      <c r="I2" s="150">
        <f>'Chart Review Info'!D4</f>
        <v>0</v>
      </c>
      <c r="J2" s="153"/>
      <c r="K2" s="592">
        <f>'Chart Review Info'!F26</f>
        <v>0</v>
      </c>
      <c r="L2" s="591"/>
      <c r="N2"/>
      <c r="O2"/>
      <c r="P2"/>
      <c r="Q2"/>
      <c r="R2"/>
      <c r="S2" s="55">
        <f>'Chart Review Info'!G4</f>
        <v>0</v>
      </c>
      <c r="T2" s="82" t="s">
        <v>261</v>
      </c>
      <c r="U2" s="83">
        <f>'Chart Review Info'!G5</f>
        <v>0</v>
      </c>
      <c r="V2"/>
      <c r="W2"/>
      <c r="X2"/>
      <c r="Y2"/>
      <c r="Z2"/>
      <c r="AA2"/>
      <c r="AB2"/>
    </row>
    <row r="3" spans="1:31" s="5" customFormat="1" x14ac:dyDescent="0.2">
      <c r="A3" s="106"/>
      <c r="B3" s="4"/>
      <c r="C3" s="84"/>
      <c r="H3"/>
      <c r="J3" s="98"/>
      <c r="V3"/>
      <c r="W3"/>
      <c r="X3"/>
      <c r="Y3"/>
      <c r="Z3"/>
      <c r="AA3"/>
      <c r="AB3"/>
    </row>
    <row r="4" spans="1:31" s="5" customFormat="1" ht="15.75" x14ac:dyDescent="0.25">
      <c r="A4" s="106"/>
      <c r="B4" s="4"/>
      <c r="C4" s="85" t="s">
        <v>202</v>
      </c>
      <c r="E4" s="85" t="s">
        <v>86</v>
      </c>
      <c r="F4" s="86"/>
      <c r="G4" s="85"/>
      <c r="H4"/>
      <c r="I4" s="151" t="s">
        <v>350</v>
      </c>
      <c r="J4" s="98"/>
      <c r="K4" s="87" t="s">
        <v>260</v>
      </c>
      <c r="L4" s="88"/>
      <c r="O4" s="86" t="s">
        <v>294</v>
      </c>
      <c r="P4"/>
      <c r="Q4"/>
      <c r="R4"/>
      <c r="S4" s="85" t="s">
        <v>12</v>
      </c>
      <c r="T4" s="563">
        <f>Prog_13</f>
        <v>0</v>
      </c>
      <c r="U4" s="564"/>
      <c r="V4"/>
      <c r="W4"/>
      <c r="X4"/>
      <c r="Y4"/>
      <c r="Z4"/>
      <c r="AA4"/>
      <c r="AB4"/>
    </row>
    <row r="5" spans="1:31" s="5" customFormat="1" x14ac:dyDescent="0.2">
      <c r="A5" s="106"/>
      <c r="B5" s="4"/>
      <c r="C5" s="54">
        <v>13</v>
      </c>
      <c r="E5" s="589" t="str">
        <f>'Chart Review Info'!C26</f>
        <v>N/A</v>
      </c>
      <c r="F5" s="590"/>
      <c r="G5" s="591"/>
      <c r="H5"/>
      <c r="I5" s="152">
        <f>Consum_13</f>
        <v>0</v>
      </c>
      <c r="J5" s="98"/>
      <c r="K5" s="293">
        <f>'Chart Review Info'!G4</f>
        <v>0</v>
      </c>
      <c r="L5" s="102" t="s">
        <v>261</v>
      </c>
      <c r="M5" s="293">
        <f>'Chart Review Info'!G5</f>
        <v>0</v>
      </c>
      <c r="O5" s="54">
        <f>'Chart Review Info'!G26</f>
        <v>0</v>
      </c>
      <c r="P5"/>
      <c r="Q5"/>
      <c r="R5"/>
      <c r="S5"/>
      <c r="T5"/>
      <c r="V5"/>
      <c r="W5"/>
      <c r="X5"/>
      <c r="Y5" s="6" t="s">
        <v>514</v>
      </c>
      <c r="Z5"/>
      <c r="AA5"/>
      <c r="AB5"/>
    </row>
    <row r="6" spans="1:31" x14ac:dyDescent="0.2">
      <c r="C6" s="154"/>
      <c r="D6" s="158"/>
      <c r="E6" s="155"/>
      <c r="F6" s="155"/>
      <c r="G6" s="155"/>
      <c r="H6" s="155"/>
      <c r="I6" s="155"/>
      <c r="J6" s="155"/>
      <c r="K6" s="155"/>
      <c r="L6" s="155"/>
      <c r="M6" s="155"/>
      <c r="N6" s="155"/>
      <c r="O6" s="155"/>
      <c r="P6" s="155"/>
      <c r="Q6" s="155"/>
      <c r="R6" s="155"/>
      <c r="T6" s="1"/>
      <c r="W6" s="51"/>
      <c r="Y6" s="329">
        <f>SUM(Y9:Y16)</f>
        <v>0</v>
      </c>
      <c r="AA6" s="13"/>
      <c r="AB6" s="13"/>
    </row>
    <row r="7" spans="1:31" ht="23.25" x14ac:dyDescent="0.25">
      <c r="C7" s="89" t="s">
        <v>262</v>
      </c>
      <c r="D7" s="159"/>
      <c r="E7" s="90"/>
      <c r="F7" s="90"/>
      <c r="G7" s="90"/>
      <c r="H7" s="90"/>
      <c r="I7" s="90"/>
      <c r="J7" s="90"/>
      <c r="K7" s="90"/>
      <c r="L7" s="90"/>
      <c r="M7" s="90"/>
      <c r="N7" s="90"/>
      <c r="O7" s="90"/>
      <c r="P7" s="90"/>
      <c r="S7" s="20"/>
      <c r="T7" s="21"/>
      <c r="U7" s="21"/>
      <c r="V7" s="21"/>
      <c r="W7" s="21"/>
      <c r="X7" s="160" t="s">
        <v>263</v>
      </c>
      <c r="Y7" s="160"/>
      <c r="Z7" s="160"/>
      <c r="AA7" s="22"/>
      <c r="AB7" s="23"/>
    </row>
    <row r="8" spans="1:31" ht="27" customHeight="1" x14ac:dyDescent="0.25">
      <c r="C8" s="91" t="s">
        <v>264</v>
      </c>
      <c r="D8" s="588" t="s">
        <v>68</v>
      </c>
      <c r="E8" s="574"/>
      <c r="F8" s="574"/>
      <c r="G8" s="574"/>
      <c r="H8" s="574"/>
      <c r="I8" s="574"/>
      <c r="J8" s="574"/>
      <c r="K8" s="574"/>
      <c r="L8" s="574"/>
      <c r="M8" s="574"/>
      <c r="N8" s="574"/>
      <c r="O8" s="92" t="s">
        <v>265</v>
      </c>
      <c r="P8" s="92" t="s">
        <v>266</v>
      </c>
      <c r="Q8" s="359"/>
      <c r="R8" s="351"/>
      <c r="S8" s="7" t="s">
        <v>449</v>
      </c>
      <c r="T8" s="9" t="s">
        <v>87</v>
      </c>
      <c r="U8" s="7" t="s">
        <v>88</v>
      </c>
      <c r="V8" s="7" t="s">
        <v>89</v>
      </c>
      <c r="W8" s="7" t="s">
        <v>90</v>
      </c>
      <c r="X8" s="7" t="s">
        <v>644</v>
      </c>
      <c r="Y8" s="8" t="s">
        <v>201</v>
      </c>
      <c r="Z8" s="116" t="s">
        <v>91</v>
      </c>
      <c r="AA8" s="117" t="s">
        <v>95</v>
      </c>
      <c r="AB8" s="117" t="s">
        <v>92</v>
      </c>
    </row>
    <row r="9" spans="1:31" ht="60" customHeight="1" x14ac:dyDescent="0.2">
      <c r="A9" s="212" t="s">
        <v>73</v>
      </c>
      <c r="B9" s="93"/>
      <c r="C9" s="94" t="s">
        <v>204</v>
      </c>
      <c r="D9" s="567" t="s">
        <v>658</v>
      </c>
      <c r="E9" s="470"/>
      <c r="F9" s="470"/>
      <c r="G9" s="470"/>
      <c r="H9" s="470"/>
      <c r="I9" s="470"/>
      <c r="J9" s="470"/>
      <c r="K9" s="470"/>
      <c r="L9" s="470"/>
      <c r="M9" s="470"/>
      <c r="N9" s="471"/>
      <c r="O9" s="71"/>
      <c r="P9" s="95" t="str">
        <f t="shared" ref="P9:P12" si="0">IF(O9="","",IF(O9="Yes","Pass",IF(O9="No","Fail","N/A")))</f>
        <v/>
      </c>
      <c r="Q9" s="173"/>
      <c r="R9" s="173"/>
      <c r="S9" s="124"/>
      <c r="T9" s="125"/>
      <c r="U9" s="125"/>
      <c r="V9" s="125"/>
      <c r="W9" s="126"/>
      <c r="X9" s="125"/>
      <c r="Y9" s="127"/>
      <c r="Z9" s="128"/>
      <c r="AA9" s="129"/>
      <c r="AB9" s="130"/>
      <c r="AC9" s="96"/>
      <c r="AD9" s="96"/>
      <c r="AE9" s="96"/>
    </row>
    <row r="10" spans="1:31" ht="87" customHeight="1" x14ac:dyDescent="0.2">
      <c r="A10" s="107">
        <v>1</v>
      </c>
      <c r="B10" s="93"/>
      <c r="C10" s="94" t="s">
        <v>205</v>
      </c>
      <c r="D10" s="567" t="s">
        <v>528</v>
      </c>
      <c r="E10" s="586"/>
      <c r="F10" s="586"/>
      <c r="G10" s="586"/>
      <c r="H10" s="586"/>
      <c r="I10" s="586"/>
      <c r="J10" s="586"/>
      <c r="K10" s="586"/>
      <c r="L10" s="586"/>
      <c r="M10" s="586"/>
      <c r="N10" s="587"/>
      <c r="O10" s="71"/>
      <c r="P10" s="95" t="str">
        <f t="shared" si="0"/>
        <v/>
      </c>
      <c r="Q10" s="173"/>
      <c r="R10" s="173"/>
      <c r="S10" s="124"/>
      <c r="T10" s="124"/>
      <c r="U10" s="124"/>
      <c r="V10" s="125"/>
      <c r="W10" s="131"/>
      <c r="X10" s="124"/>
      <c r="Y10" s="127"/>
      <c r="Z10" s="128"/>
      <c r="AA10" s="129"/>
      <c r="AB10" s="129"/>
    </row>
    <row r="11" spans="1:31" ht="50.25" customHeight="1" x14ac:dyDescent="0.2">
      <c r="A11" s="107" t="s">
        <v>70</v>
      </c>
      <c r="B11" s="93"/>
      <c r="C11" s="94" t="s">
        <v>206</v>
      </c>
      <c r="D11" s="567" t="s">
        <v>529</v>
      </c>
      <c r="E11" s="586"/>
      <c r="F11" s="586"/>
      <c r="G11" s="586"/>
      <c r="H11" s="586"/>
      <c r="I11" s="586"/>
      <c r="J11" s="586"/>
      <c r="K11" s="586"/>
      <c r="L11" s="586"/>
      <c r="M11" s="586"/>
      <c r="N11" s="587"/>
      <c r="O11" s="71"/>
      <c r="P11" s="95" t="str">
        <f t="shared" si="0"/>
        <v/>
      </c>
      <c r="Q11" s="173"/>
      <c r="R11" s="173"/>
      <c r="S11" s="124"/>
      <c r="T11" s="124"/>
      <c r="U11" s="124"/>
      <c r="V11" s="125"/>
      <c r="W11" s="131"/>
      <c r="X11" s="124"/>
      <c r="Y11" s="127"/>
      <c r="Z11" s="128"/>
      <c r="AA11" s="129"/>
      <c r="AB11" s="129"/>
    </row>
    <row r="12" spans="1:31" ht="33.75" customHeight="1" x14ac:dyDescent="0.2">
      <c r="A12" s="106">
        <v>1</v>
      </c>
      <c r="C12" s="94" t="s">
        <v>207</v>
      </c>
      <c r="D12" s="567" t="s">
        <v>659</v>
      </c>
      <c r="E12" s="586"/>
      <c r="F12" s="586"/>
      <c r="G12" s="586"/>
      <c r="H12" s="586"/>
      <c r="I12" s="586"/>
      <c r="J12" s="586"/>
      <c r="K12" s="586"/>
      <c r="L12" s="586"/>
      <c r="M12" s="586"/>
      <c r="N12" s="587"/>
      <c r="O12" s="71"/>
      <c r="P12" s="95" t="str">
        <f t="shared" si="0"/>
        <v/>
      </c>
      <c r="Q12" s="173"/>
      <c r="R12" s="173"/>
      <c r="S12" s="124"/>
      <c r="T12" s="124"/>
      <c r="U12" s="124"/>
      <c r="V12" s="125"/>
      <c r="W12" s="131"/>
      <c r="X12" s="124"/>
      <c r="Y12" s="127"/>
      <c r="Z12" s="128"/>
      <c r="AA12" s="129"/>
      <c r="AB12" s="129"/>
    </row>
    <row r="13" spans="1:31" ht="36" customHeight="1" x14ac:dyDescent="0.2">
      <c r="A13" s="107">
        <v>1</v>
      </c>
      <c r="B13" s="93"/>
      <c r="C13" s="97" t="s">
        <v>208</v>
      </c>
      <c r="D13" s="567" t="s">
        <v>656</v>
      </c>
      <c r="E13" s="470"/>
      <c r="F13" s="470"/>
      <c r="G13" s="470"/>
      <c r="H13" s="470"/>
      <c r="I13" s="470"/>
      <c r="J13" s="470"/>
      <c r="K13" s="470"/>
      <c r="L13" s="470"/>
      <c r="M13" s="470"/>
      <c r="N13" s="471"/>
      <c r="O13" s="71"/>
      <c r="P13" s="95" t="str">
        <f t="shared" ref="P13:P19" si="1">IF(O13="","",IF(O13="Yes","Pass",IF(O13="No","Fail","N/A")))</f>
        <v/>
      </c>
      <c r="Q13" s="173"/>
      <c r="R13" s="173"/>
      <c r="S13" s="124"/>
      <c r="T13" s="124"/>
      <c r="U13" s="124"/>
      <c r="V13" s="125"/>
      <c r="W13" s="131"/>
      <c r="X13" s="124"/>
      <c r="Y13" s="127"/>
      <c r="Z13" s="128"/>
      <c r="AA13" s="129"/>
      <c r="AB13" s="129"/>
    </row>
    <row r="14" spans="1:31" ht="46.5" customHeight="1" x14ac:dyDescent="0.2">
      <c r="A14" s="107" t="s">
        <v>70</v>
      </c>
      <c r="B14" s="93"/>
      <c r="C14" s="97" t="s">
        <v>209</v>
      </c>
      <c r="D14" s="567" t="s">
        <v>530</v>
      </c>
      <c r="E14" s="586"/>
      <c r="F14" s="586"/>
      <c r="G14" s="586"/>
      <c r="H14" s="586"/>
      <c r="I14" s="586"/>
      <c r="J14" s="586"/>
      <c r="K14" s="586"/>
      <c r="L14" s="586"/>
      <c r="M14" s="586"/>
      <c r="N14" s="587"/>
      <c r="O14" s="71"/>
      <c r="P14" s="95" t="str">
        <f t="shared" si="1"/>
        <v/>
      </c>
      <c r="Q14" s="173"/>
      <c r="R14" s="173"/>
      <c r="S14" s="124"/>
      <c r="T14" s="124"/>
      <c r="U14" s="124"/>
      <c r="V14" s="125"/>
      <c r="W14" s="131"/>
      <c r="X14" s="124"/>
      <c r="Y14" s="127"/>
      <c r="Z14" s="128"/>
      <c r="AA14" s="129"/>
      <c r="AB14" s="129"/>
    </row>
    <row r="15" spans="1:31" ht="49.5" customHeight="1" x14ac:dyDescent="0.2">
      <c r="A15" s="107">
        <v>1</v>
      </c>
      <c r="B15" s="93"/>
      <c r="C15" s="94" t="s">
        <v>210</v>
      </c>
      <c r="D15" s="567" t="s">
        <v>531</v>
      </c>
      <c r="E15" s="586"/>
      <c r="F15" s="586"/>
      <c r="G15" s="586"/>
      <c r="H15" s="586"/>
      <c r="I15" s="586"/>
      <c r="J15" s="586"/>
      <c r="K15" s="586"/>
      <c r="L15" s="586"/>
      <c r="M15" s="586"/>
      <c r="N15" s="587"/>
      <c r="O15" s="71"/>
      <c r="P15" s="95" t="str">
        <f t="shared" si="1"/>
        <v/>
      </c>
      <c r="Q15" s="173"/>
      <c r="R15" s="173"/>
      <c r="S15" s="124"/>
      <c r="T15" s="124"/>
      <c r="U15" s="124"/>
      <c r="V15" s="125"/>
      <c r="W15" s="131"/>
      <c r="X15" s="124"/>
      <c r="Y15" s="127"/>
      <c r="Z15" s="128"/>
      <c r="AA15" s="129"/>
      <c r="AB15" s="129"/>
    </row>
    <row r="16" spans="1:31" ht="66.75" customHeight="1" x14ac:dyDescent="0.2">
      <c r="A16" s="106">
        <v>1</v>
      </c>
      <c r="C16" s="97" t="s">
        <v>211</v>
      </c>
      <c r="D16" s="567" t="s">
        <v>532</v>
      </c>
      <c r="E16" s="586"/>
      <c r="F16" s="586"/>
      <c r="G16" s="586"/>
      <c r="H16" s="586"/>
      <c r="I16" s="586"/>
      <c r="J16" s="586"/>
      <c r="K16" s="586"/>
      <c r="L16" s="586"/>
      <c r="M16" s="586"/>
      <c r="N16" s="587"/>
      <c r="O16" s="71"/>
      <c r="P16" s="95" t="str">
        <f t="shared" si="1"/>
        <v/>
      </c>
      <c r="Q16" s="173"/>
      <c r="R16" s="173"/>
      <c r="S16" s="124"/>
      <c r="T16" s="124"/>
      <c r="U16" s="124"/>
      <c r="V16" s="125"/>
      <c r="W16" s="131"/>
      <c r="X16" s="124"/>
      <c r="Y16" s="127"/>
      <c r="Z16" s="128"/>
      <c r="AA16" s="129"/>
      <c r="AB16" s="129"/>
    </row>
    <row r="17" spans="1:28" ht="39" customHeight="1" x14ac:dyDescent="0.2">
      <c r="A17" s="107" t="s">
        <v>70</v>
      </c>
      <c r="B17" s="93"/>
      <c r="C17" s="97" t="s">
        <v>212</v>
      </c>
      <c r="D17" s="567" t="s">
        <v>533</v>
      </c>
      <c r="E17" s="586"/>
      <c r="F17" s="586"/>
      <c r="G17" s="586"/>
      <c r="H17" s="586"/>
      <c r="I17" s="586"/>
      <c r="J17" s="586"/>
      <c r="K17" s="586"/>
      <c r="L17" s="586"/>
      <c r="M17" s="586"/>
      <c r="N17" s="587"/>
      <c r="O17" s="71"/>
      <c r="P17" s="95" t="str">
        <f t="shared" si="1"/>
        <v/>
      </c>
      <c r="Q17" s="173"/>
      <c r="R17" s="173"/>
      <c r="S17" s="124"/>
      <c r="T17" s="124"/>
      <c r="U17" s="124"/>
      <c r="V17" s="125"/>
      <c r="W17" s="131"/>
      <c r="X17" s="124"/>
      <c r="Y17" s="127"/>
      <c r="Z17" s="128"/>
      <c r="AA17" s="129"/>
      <c r="AB17" s="129"/>
    </row>
    <row r="18" spans="1:28" ht="83.25" customHeight="1" x14ac:dyDescent="0.2">
      <c r="A18" s="107" t="s">
        <v>70</v>
      </c>
      <c r="B18" s="93"/>
      <c r="C18" s="94" t="s">
        <v>657</v>
      </c>
      <c r="D18" s="567" t="s">
        <v>534</v>
      </c>
      <c r="E18" s="586"/>
      <c r="F18" s="586"/>
      <c r="G18" s="586"/>
      <c r="H18" s="586"/>
      <c r="I18" s="586"/>
      <c r="J18" s="586"/>
      <c r="K18" s="586"/>
      <c r="L18" s="586"/>
      <c r="M18" s="586"/>
      <c r="N18" s="587"/>
      <c r="O18" s="71"/>
      <c r="P18" s="95" t="str">
        <f t="shared" si="1"/>
        <v/>
      </c>
      <c r="Q18" s="173"/>
      <c r="R18" s="173"/>
      <c r="S18" s="124"/>
      <c r="T18" s="124"/>
      <c r="U18" s="124"/>
      <c r="V18" s="125"/>
      <c r="W18" s="131"/>
      <c r="X18" s="124"/>
      <c r="Y18" s="127"/>
      <c r="Z18" s="128"/>
      <c r="AA18" s="129"/>
      <c r="AB18" s="129"/>
    </row>
    <row r="19" spans="1:28" ht="47.25" customHeight="1" x14ac:dyDescent="0.2">
      <c r="A19" s="107" t="s">
        <v>81</v>
      </c>
      <c r="B19" s="93"/>
      <c r="C19" s="391" t="s">
        <v>213</v>
      </c>
      <c r="D19" s="571" t="s">
        <v>535</v>
      </c>
      <c r="E19" s="572"/>
      <c r="F19" s="572"/>
      <c r="G19" s="572"/>
      <c r="H19" s="572"/>
      <c r="I19" s="572"/>
      <c r="J19" s="572"/>
      <c r="K19" s="572"/>
      <c r="L19" s="572"/>
      <c r="M19" s="572"/>
      <c r="N19" s="572"/>
      <c r="O19" s="71"/>
      <c r="P19" s="95" t="str">
        <f t="shared" si="1"/>
        <v/>
      </c>
      <c r="Q19" s="173"/>
      <c r="R19" s="173"/>
      <c r="S19" s="124"/>
      <c r="T19" s="124"/>
      <c r="U19" s="124"/>
      <c r="V19" s="125"/>
      <c r="W19" s="131"/>
      <c r="X19" s="124"/>
      <c r="Y19" s="127"/>
      <c r="Z19" s="128"/>
      <c r="AA19" s="129"/>
      <c r="AB19" s="129"/>
    </row>
    <row r="20" spans="1:28" ht="22.5" customHeight="1" x14ac:dyDescent="0.2">
      <c r="A20" s="106">
        <v>1</v>
      </c>
      <c r="B20" s="93"/>
      <c r="C20" s="575" t="s">
        <v>267</v>
      </c>
      <c r="D20" s="470"/>
      <c r="E20" s="470"/>
      <c r="F20" s="470"/>
      <c r="G20" s="470"/>
      <c r="H20" s="470"/>
      <c r="I20" s="470"/>
      <c r="J20" s="470"/>
      <c r="K20" s="470"/>
      <c r="L20" s="470"/>
      <c r="M20" s="470"/>
      <c r="N20" s="470"/>
      <c r="O20"/>
      <c r="P20" s="392"/>
      <c r="Q20" s="174"/>
      <c r="R20" s="174"/>
      <c r="S20" s="124"/>
      <c r="T20" s="124"/>
      <c r="U20" s="124"/>
      <c r="V20" s="125"/>
      <c r="W20" s="131"/>
      <c r="X20" s="124"/>
      <c r="Y20" s="127"/>
      <c r="Z20" s="128"/>
      <c r="AA20" s="129"/>
      <c r="AB20" s="129"/>
    </row>
    <row r="21" spans="1:28" ht="30.75" customHeight="1" x14ac:dyDescent="0.2">
      <c r="A21" s="107" t="s">
        <v>73</v>
      </c>
      <c r="C21" s="581" t="s">
        <v>17</v>
      </c>
      <c r="D21" s="470"/>
      <c r="E21" s="470"/>
      <c r="F21" s="470"/>
      <c r="G21" s="470"/>
      <c r="H21" s="470"/>
      <c r="I21" s="470"/>
      <c r="J21" s="470"/>
      <c r="K21" s="470"/>
      <c r="L21" s="470"/>
      <c r="M21" s="470"/>
      <c r="N21" s="471"/>
      <c r="O21" s="345"/>
      <c r="P21" s="343"/>
      <c r="Q21" s="172"/>
      <c r="R21" s="172"/>
      <c r="S21" s="124"/>
      <c r="T21" s="124"/>
      <c r="U21" s="124"/>
      <c r="V21" s="125"/>
      <c r="W21" s="131"/>
      <c r="X21" s="124"/>
      <c r="Y21" s="132"/>
      <c r="Z21" s="128"/>
      <c r="AA21" s="129"/>
      <c r="AB21" s="129"/>
    </row>
    <row r="22" spans="1:28" ht="18" customHeight="1" x14ac:dyDescent="0.25">
      <c r="C22" s="100" t="s">
        <v>264</v>
      </c>
      <c r="D22" s="573" t="s">
        <v>71</v>
      </c>
      <c r="E22" s="574"/>
      <c r="F22" s="574"/>
      <c r="G22" s="574"/>
      <c r="H22" s="574"/>
      <c r="I22" s="574"/>
      <c r="J22" s="574"/>
      <c r="K22" s="574"/>
      <c r="L22" s="574"/>
      <c r="M22" s="574"/>
      <c r="N22" s="440"/>
      <c r="O22" s="101" t="s">
        <v>265</v>
      </c>
      <c r="P22" s="101" t="s">
        <v>266</v>
      </c>
      <c r="Q22" s="359"/>
      <c r="R22" s="175"/>
      <c r="S22" s="124"/>
      <c r="T22" s="124"/>
      <c r="U22" s="124"/>
      <c r="V22" s="125"/>
      <c r="W22" s="131"/>
      <c r="X22" s="124"/>
      <c r="Y22" s="127"/>
      <c r="Z22" s="128"/>
      <c r="AA22" s="129"/>
      <c r="AB22" s="129"/>
    </row>
    <row r="23" spans="1:28" ht="18" customHeight="1" x14ac:dyDescent="0.2">
      <c r="A23" s="106">
        <v>1</v>
      </c>
      <c r="C23" s="102" t="s">
        <v>215</v>
      </c>
      <c r="D23" s="567" t="s">
        <v>268</v>
      </c>
      <c r="E23" s="470"/>
      <c r="F23" s="470"/>
      <c r="G23" s="470"/>
      <c r="H23" s="470"/>
      <c r="I23" s="470"/>
      <c r="J23" s="470"/>
      <c r="K23" s="470"/>
      <c r="L23" s="470"/>
      <c r="M23" s="470"/>
      <c r="N23" s="471"/>
      <c r="O23" s="71"/>
      <c r="P23" s="95" t="str">
        <f>IF(O23="","",IF(O23="Yes","Pass",IF(O23="No","Fail","N/A")))</f>
        <v/>
      </c>
      <c r="Q23" s="173"/>
      <c r="R23" s="173"/>
      <c r="S23" s="124"/>
      <c r="T23" s="124"/>
      <c r="U23" s="124"/>
      <c r="V23" s="125"/>
      <c r="W23" s="131"/>
      <c r="X23" s="124"/>
      <c r="Y23" s="127"/>
      <c r="Z23" s="128"/>
      <c r="AA23" s="129"/>
      <c r="AB23" s="129"/>
    </row>
    <row r="24" spans="1:28" ht="45" customHeight="1" x14ac:dyDescent="0.2">
      <c r="A24" s="107" t="s">
        <v>69</v>
      </c>
      <c r="C24" s="97" t="s">
        <v>216</v>
      </c>
      <c r="D24" s="567" t="s">
        <v>269</v>
      </c>
      <c r="E24" s="470"/>
      <c r="F24" s="470"/>
      <c r="G24" s="470"/>
      <c r="H24" s="470"/>
      <c r="I24" s="470"/>
      <c r="J24" s="470"/>
      <c r="K24" s="470"/>
      <c r="L24" s="470"/>
      <c r="M24" s="470"/>
      <c r="N24" s="471"/>
      <c r="O24" s="71"/>
      <c r="P24" s="95" t="str">
        <f>IF(O24="","",IF(O24="Yes","Pass",IF(O24="No","Fail","N/A")))</f>
        <v/>
      </c>
      <c r="Q24" s="173"/>
      <c r="R24" s="173"/>
      <c r="S24" s="124"/>
      <c r="T24" s="124"/>
      <c r="U24" s="124"/>
      <c r="V24" s="125"/>
      <c r="W24" s="131"/>
      <c r="X24" s="124"/>
      <c r="Y24" s="127"/>
      <c r="Z24" s="128"/>
      <c r="AA24" s="129"/>
      <c r="AB24" s="129"/>
    </row>
    <row r="25" spans="1:28" ht="45" customHeight="1" x14ac:dyDescent="0.2">
      <c r="A25" s="107" t="s">
        <v>69</v>
      </c>
      <c r="B25" s="93"/>
      <c r="C25" s="97" t="s">
        <v>217</v>
      </c>
      <c r="D25" s="567" t="s">
        <v>270</v>
      </c>
      <c r="E25" s="470"/>
      <c r="F25" s="470"/>
      <c r="G25" s="470"/>
      <c r="H25" s="470"/>
      <c r="I25" s="470"/>
      <c r="J25" s="470"/>
      <c r="K25" s="470"/>
      <c r="L25" s="470"/>
      <c r="M25" s="470"/>
      <c r="N25" s="471"/>
      <c r="O25" s="71"/>
      <c r="P25" s="95" t="str">
        <f>IF(O25="","",IF(O25="Yes","Pass",IF(O25="No","Fail","N/A")))</f>
        <v/>
      </c>
      <c r="Q25" s="173"/>
      <c r="R25" s="173"/>
      <c r="S25" s="124"/>
      <c r="T25" s="124"/>
      <c r="U25" s="124"/>
      <c r="V25" s="125"/>
      <c r="W25" s="131"/>
      <c r="X25" s="124"/>
      <c r="Y25" s="127"/>
      <c r="Z25" s="128"/>
      <c r="AA25" s="129"/>
      <c r="AB25" s="129"/>
    </row>
    <row r="26" spans="1:28" ht="51.75" customHeight="1" x14ac:dyDescent="0.2">
      <c r="A26" s="107" t="s">
        <v>69</v>
      </c>
      <c r="B26" s="93"/>
      <c r="C26" s="97" t="s">
        <v>218</v>
      </c>
      <c r="D26" s="567" t="s">
        <v>271</v>
      </c>
      <c r="E26" s="470"/>
      <c r="F26" s="470"/>
      <c r="G26" s="470"/>
      <c r="H26" s="470"/>
      <c r="I26" s="470"/>
      <c r="J26" s="470"/>
      <c r="K26" s="470"/>
      <c r="L26" s="470"/>
      <c r="M26" s="470"/>
      <c r="N26" s="470"/>
      <c r="O26" s="71"/>
      <c r="P26" s="95" t="str">
        <f>IF(O26="","",IF(O26="Yes","Pass",IF(O26="No","Fail","N/A")))</f>
        <v/>
      </c>
      <c r="Q26" s="173"/>
      <c r="R26" s="173"/>
      <c r="S26" s="124"/>
      <c r="T26" s="124"/>
      <c r="U26" s="124"/>
      <c r="V26" s="125"/>
      <c r="W26" s="131"/>
      <c r="X26" s="124"/>
      <c r="Y26" s="127"/>
      <c r="Z26" s="128"/>
      <c r="AA26" s="129"/>
      <c r="AB26" s="129"/>
    </row>
    <row r="27" spans="1:28" ht="22.5" customHeight="1" x14ac:dyDescent="0.2">
      <c r="A27" s="106">
        <v>1</v>
      </c>
      <c r="B27" s="93"/>
      <c r="C27" s="580" t="s">
        <v>272</v>
      </c>
      <c r="D27" s="470"/>
      <c r="E27" s="470"/>
      <c r="F27" s="470"/>
      <c r="G27" s="470"/>
      <c r="H27" s="470"/>
      <c r="I27" s="470"/>
      <c r="J27" s="470"/>
      <c r="K27" s="470"/>
      <c r="L27" s="470"/>
      <c r="M27" s="470"/>
      <c r="N27" s="470"/>
      <c r="O27" s="341"/>
      <c r="Q27" s="123"/>
      <c r="R27" s="123"/>
      <c r="S27" s="124"/>
      <c r="T27" s="124"/>
      <c r="U27" s="124"/>
      <c r="V27" s="125"/>
      <c r="W27" s="131"/>
      <c r="X27" s="124"/>
      <c r="Y27" s="127"/>
      <c r="Z27" s="128"/>
      <c r="AA27" s="129"/>
      <c r="AB27" s="129"/>
    </row>
    <row r="28" spans="1:28" ht="29.25" customHeight="1" x14ac:dyDescent="0.2">
      <c r="A28" s="107" t="s">
        <v>73</v>
      </c>
      <c r="C28" s="581" t="s">
        <v>17</v>
      </c>
      <c r="D28" s="470"/>
      <c r="E28" s="470"/>
      <c r="F28" s="470"/>
      <c r="G28" s="470"/>
      <c r="H28" s="470"/>
      <c r="I28" s="470"/>
      <c r="J28" s="470"/>
      <c r="K28" s="470"/>
      <c r="L28" s="470"/>
      <c r="M28" s="470"/>
      <c r="N28" s="470"/>
      <c r="O28" s="345"/>
      <c r="P28" s="340"/>
      <c r="Q28" s="123"/>
      <c r="R28" s="123"/>
      <c r="S28" s="124"/>
      <c r="T28" s="124"/>
      <c r="U28" s="124"/>
      <c r="V28" s="125"/>
      <c r="W28" s="131"/>
      <c r="X28" s="133"/>
      <c r="Y28" s="132"/>
      <c r="Z28" s="128"/>
      <c r="AA28" s="129"/>
      <c r="AB28" s="129"/>
    </row>
    <row r="29" spans="1:28" ht="24" customHeight="1" x14ac:dyDescent="0.25">
      <c r="C29" s="100" t="s">
        <v>264</v>
      </c>
      <c r="D29" s="573" t="s">
        <v>465</v>
      </c>
      <c r="E29" s="574"/>
      <c r="F29" s="574"/>
      <c r="G29" s="574"/>
      <c r="H29" s="574"/>
      <c r="I29" s="574"/>
      <c r="J29" s="574"/>
      <c r="K29" s="574"/>
      <c r="L29" s="574"/>
      <c r="M29" s="574"/>
      <c r="N29" s="574"/>
      <c r="O29" s="101" t="s">
        <v>265</v>
      </c>
      <c r="P29" s="101" t="s">
        <v>266</v>
      </c>
      <c r="Q29" s="359"/>
      <c r="R29" s="175"/>
      <c r="S29" s="124"/>
      <c r="T29" s="124"/>
      <c r="U29" s="124"/>
      <c r="V29" s="125"/>
      <c r="W29" s="131"/>
      <c r="X29" s="133"/>
      <c r="Y29" s="132"/>
      <c r="Z29" s="128"/>
      <c r="AA29" s="129"/>
      <c r="AB29" s="129"/>
    </row>
    <row r="30" spans="1:28" ht="66" customHeight="1" x14ac:dyDescent="0.2">
      <c r="A30" s="107" t="s">
        <v>69</v>
      </c>
      <c r="C30" s="102" t="s">
        <v>466</v>
      </c>
      <c r="D30" s="567" t="s">
        <v>467</v>
      </c>
      <c r="E30" s="572"/>
      <c r="F30" s="572"/>
      <c r="G30" s="572"/>
      <c r="H30" s="572"/>
      <c r="I30" s="572"/>
      <c r="J30" s="572"/>
      <c r="K30" s="572"/>
      <c r="L30" s="572"/>
      <c r="M30" s="572"/>
      <c r="N30" s="572"/>
      <c r="O30" s="71"/>
      <c r="P30" s="95" t="str">
        <f t="shared" ref="P30:P31" si="2">IF(O30="","",IF(O30="Yes","Pass",IF(O30="No","Fail","N/A")))</f>
        <v/>
      </c>
      <c r="Q30" s="173"/>
      <c r="R30" s="173"/>
      <c r="S30" s="124"/>
      <c r="T30" s="124"/>
      <c r="U30" s="124"/>
      <c r="V30" s="125"/>
      <c r="W30" s="131"/>
      <c r="X30" s="133"/>
      <c r="Y30" s="132"/>
      <c r="Z30" s="128"/>
      <c r="AA30" s="129"/>
      <c r="AB30" s="129"/>
    </row>
    <row r="31" spans="1:28" ht="33.75" customHeight="1" x14ac:dyDescent="0.2">
      <c r="A31" s="107" t="s">
        <v>73</v>
      </c>
      <c r="B31" s="93"/>
      <c r="C31" s="102" t="s">
        <v>471</v>
      </c>
      <c r="D31" s="579" t="s">
        <v>468</v>
      </c>
      <c r="E31" s="572"/>
      <c r="F31" s="572"/>
      <c r="G31" s="572"/>
      <c r="H31" s="572"/>
      <c r="I31" s="572"/>
      <c r="J31" s="572"/>
      <c r="K31" s="572"/>
      <c r="L31" s="572"/>
      <c r="M31" s="572"/>
      <c r="N31" s="572"/>
      <c r="O31" s="71"/>
      <c r="P31" s="95" t="str">
        <f t="shared" si="2"/>
        <v/>
      </c>
      <c r="Q31" s="173"/>
      <c r="R31" s="173"/>
      <c r="S31" s="124"/>
      <c r="T31" s="124"/>
      <c r="U31" s="124"/>
      <c r="V31" s="125"/>
      <c r="W31" s="131"/>
      <c r="X31" s="133"/>
      <c r="Y31" s="132"/>
      <c r="Z31" s="128"/>
      <c r="AA31" s="129"/>
      <c r="AB31" s="129"/>
    </row>
    <row r="32" spans="1:28" ht="45" customHeight="1" x14ac:dyDescent="0.2">
      <c r="A32" s="107" t="s">
        <v>69</v>
      </c>
      <c r="B32" s="93"/>
      <c r="C32" s="102" t="s">
        <v>472</v>
      </c>
      <c r="D32" s="579" t="s">
        <v>469</v>
      </c>
      <c r="E32" s="572"/>
      <c r="F32" s="572"/>
      <c r="G32" s="572"/>
      <c r="H32" s="572"/>
      <c r="I32" s="572"/>
      <c r="J32" s="572"/>
      <c r="K32" s="572"/>
      <c r="L32" s="572"/>
      <c r="M32" s="572"/>
      <c r="N32" s="572"/>
      <c r="O32" s="71"/>
      <c r="P32" s="95" t="str">
        <f>IF(O32="","",IF(O32="Yes","Pass",IF(O32="No","Fail","N/A")))</f>
        <v/>
      </c>
      <c r="Q32" s="173"/>
      <c r="R32" s="173"/>
      <c r="S32" s="124"/>
      <c r="T32" s="124"/>
      <c r="U32" s="124"/>
      <c r="V32" s="125"/>
      <c r="W32" s="131"/>
      <c r="X32" s="133"/>
      <c r="Y32" s="132"/>
      <c r="Z32" s="128"/>
      <c r="AA32" s="129"/>
      <c r="AB32" s="129"/>
    </row>
    <row r="33" spans="1:28" ht="30" customHeight="1" x14ac:dyDescent="0.2">
      <c r="A33" s="107" t="s">
        <v>70</v>
      </c>
      <c r="B33" s="93"/>
      <c r="C33" s="102" t="s">
        <v>473</v>
      </c>
      <c r="D33" s="579" t="s">
        <v>470</v>
      </c>
      <c r="E33" s="572"/>
      <c r="F33" s="572"/>
      <c r="G33" s="572"/>
      <c r="H33" s="572"/>
      <c r="I33" s="572"/>
      <c r="J33" s="572"/>
      <c r="K33" s="572"/>
      <c r="L33" s="572"/>
      <c r="M33" s="572"/>
      <c r="N33" s="572"/>
      <c r="O33" s="71"/>
      <c r="P33" s="95" t="str">
        <f>IF(O33="","",IF(O33="Yes","Pass",IF(O33="No","Fail","N/A")))</f>
        <v/>
      </c>
      <c r="Q33" s="173"/>
      <c r="R33" s="173"/>
      <c r="S33" s="124"/>
      <c r="T33" s="124"/>
      <c r="U33" s="124"/>
      <c r="V33" s="125"/>
      <c r="W33" s="131"/>
      <c r="X33" s="133"/>
      <c r="Y33" s="132"/>
      <c r="Z33" s="128"/>
      <c r="AA33" s="129"/>
      <c r="AB33" s="129"/>
    </row>
    <row r="34" spans="1:28" ht="24" customHeight="1" x14ac:dyDescent="0.2">
      <c r="A34" s="107" t="s">
        <v>69</v>
      </c>
      <c r="B34" s="93"/>
      <c r="C34" s="580" t="s">
        <v>545</v>
      </c>
      <c r="D34" s="470"/>
      <c r="E34" s="470"/>
      <c r="F34" s="470"/>
      <c r="G34" s="470"/>
      <c r="H34" s="470"/>
      <c r="I34" s="470"/>
      <c r="J34" s="470"/>
      <c r="K34" s="470"/>
      <c r="L34" s="470"/>
      <c r="M34" s="470"/>
      <c r="N34" s="470"/>
      <c r="O34" s="341"/>
      <c r="Q34" s="359"/>
      <c r="S34" s="124"/>
      <c r="T34" s="124"/>
      <c r="U34" s="124"/>
      <c r="V34" s="125"/>
      <c r="W34" s="131"/>
      <c r="X34" s="133"/>
      <c r="Y34" s="132"/>
      <c r="Z34" s="128"/>
      <c r="AA34" s="129"/>
      <c r="AB34" s="129"/>
    </row>
    <row r="35" spans="1:28" ht="27.75" customHeight="1" x14ac:dyDescent="0.2">
      <c r="A35" s="107" t="s">
        <v>69</v>
      </c>
      <c r="B35" s="93"/>
      <c r="C35" s="581" t="s">
        <v>17</v>
      </c>
      <c r="D35" s="470"/>
      <c r="E35" s="470"/>
      <c r="F35" s="470"/>
      <c r="G35" s="470"/>
      <c r="H35" s="470"/>
      <c r="I35" s="470"/>
      <c r="J35" s="470"/>
      <c r="K35" s="470"/>
      <c r="L35" s="470"/>
      <c r="M35" s="470"/>
      <c r="N35" s="470"/>
      <c r="O35" s="345"/>
      <c r="Q35" s="173"/>
      <c r="R35"/>
      <c r="U35"/>
      <c r="V35"/>
      <c r="W35"/>
      <c r="X35"/>
      <c r="Y35"/>
      <c r="Z35"/>
      <c r="AA35"/>
      <c r="AB35"/>
    </row>
    <row r="36" spans="1:28" ht="24.75" customHeight="1" x14ac:dyDescent="0.25">
      <c r="A36" s="107" t="s">
        <v>70</v>
      </c>
      <c r="B36" s="93"/>
      <c r="C36" s="100" t="s">
        <v>264</v>
      </c>
      <c r="D36" s="573" t="s">
        <v>72</v>
      </c>
      <c r="E36" s="574"/>
      <c r="F36" s="574"/>
      <c r="G36" s="574"/>
      <c r="H36" s="574"/>
      <c r="I36" s="574"/>
      <c r="J36" s="574"/>
      <c r="K36" s="574"/>
      <c r="L36" s="574"/>
      <c r="M36" s="574"/>
      <c r="N36" s="440"/>
      <c r="O36" s="101" t="s">
        <v>265</v>
      </c>
      <c r="P36" s="101" t="s">
        <v>266</v>
      </c>
      <c r="Q36" s="173"/>
      <c r="R36"/>
      <c r="U36"/>
      <c r="V36"/>
      <c r="W36"/>
      <c r="X36"/>
      <c r="Y36"/>
      <c r="Z36"/>
      <c r="AA36"/>
      <c r="AB36"/>
    </row>
    <row r="37" spans="1:28" ht="31.5" customHeight="1" x14ac:dyDescent="0.2">
      <c r="A37" s="107" t="s">
        <v>73</v>
      </c>
      <c r="B37" s="93"/>
      <c r="C37" s="103" t="s">
        <v>220</v>
      </c>
      <c r="D37" s="445" t="s">
        <v>544</v>
      </c>
      <c r="E37" s="568"/>
      <c r="F37" s="568"/>
      <c r="G37" s="568"/>
      <c r="H37" s="568"/>
      <c r="I37" s="568"/>
      <c r="J37" s="568"/>
      <c r="K37" s="568"/>
      <c r="L37" s="568"/>
      <c r="M37" s="568"/>
      <c r="N37" s="569"/>
      <c r="O37" s="71"/>
      <c r="P37" s="95" t="str">
        <f>IF(O37="","",IF(O37="Yes","Pass",IF(O37="No","Fail","N/A")))</f>
        <v/>
      </c>
      <c r="Q37" s="173"/>
      <c r="R37"/>
      <c r="U37"/>
      <c r="V37"/>
      <c r="W37"/>
      <c r="X37"/>
      <c r="Y37"/>
      <c r="Z37"/>
      <c r="AA37"/>
      <c r="AB37"/>
    </row>
    <row r="38" spans="1:28" ht="30" customHeight="1" x14ac:dyDescent="0.2">
      <c r="A38" s="107" t="s">
        <v>70</v>
      </c>
      <c r="B38" s="93"/>
      <c r="C38" s="185"/>
      <c r="D38" s="296" t="s">
        <v>351</v>
      </c>
      <c r="E38" s="297"/>
      <c r="F38" s="298"/>
      <c r="G38" s="299"/>
      <c r="I38" s="300" t="s">
        <v>352</v>
      </c>
      <c r="J38" s="299"/>
      <c r="K38" s="301" t="s">
        <v>353</v>
      </c>
      <c r="L38" s="191"/>
      <c r="M38" s="302"/>
      <c r="N38" s="303" t="e">
        <f>J38/G38</f>
        <v>#DIV/0!</v>
      </c>
      <c r="Q38" s="173"/>
      <c r="R38"/>
      <c r="U38"/>
      <c r="V38"/>
      <c r="W38"/>
      <c r="X38"/>
      <c r="Y38"/>
      <c r="Z38"/>
      <c r="AA38"/>
      <c r="AB38"/>
    </row>
    <row r="39" spans="1:28" ht="38.25" customHeight="1" x14ac:dyDescent="0.2">
      <c r="A39" s="107" t="s">
        <v>73</v>
      </c>
      <c r="B39" s="93"/>
      <c r="C39" s="97" t="s">
        <v>133</v>
      </c>
      <c r="D39" s="579" t="s">
        <v>645</v>
      </c>
      <c r="E39" s="572"/>
      <c r="F39" s="572"/>
      <c r="G39" s="572"/>
      <c r="H39" s="572"/>
      <c r="I39" s="572"/>
      <c r="J39" s="572"/>
      <c r="K39" s="572"/>
      <c r="L39" s="572"/>
      <c r="M39" s="572"/>
      <c r="N39" s="572"/>
      <c r="O39" s="71"/>
      <c r="P39" s="95" t="str">
        <f t="shared" ref="P39:P49" si="3">IF(O39="","",IF(O39="Yes","Pass",IF(O39="No","Fail","N/A")))</f>
        <v/>
      </c>
      <c r="Q39" s="173"/>
      <c r="R39"/>
      <c r="U39"/>
      <c r="V39"/>
      <c r="W39"/>
      <c r="X39"/>
      <c r="Y39"/>
      <c r="Z39"/>
      <c r="AA39"/>
      <c r="AB39"/>
    </row>
    <row r="40" spans="1:28" ht="30" customHeight="1" x14ac:dyDescent="0.2">
      <c r="A40" s="107" t="s">
        <v>70</v>
      </c>
      <c r="B40" s="93"/>
      <c r="C40" s="97" t="s">
        <v>221</v>
      </c>
      <c r="D40" s="579" t="s">
        <v>536</v>
      </c>
      <c r="E40" s="470"/>
      <c r="F40" s="470"/>
      <c r="G40" s="470"/>
      <c r="H40" s="470"/>
      <c r="I40" s="470"/>
      <c r="J40" s="470"/>
      <c r="K40" s="470"/>
      <c r="L40" s="470"/>
      <c r="M40" s="470"/>
      <c r="N40" s="470"/>
      <c r="O40" s="71"/>
      <c r="P40" s="95" t="str">
        <f t="shared" si="3"/>
        <v/>
      </c>
      <c r="Q40" s="173"/>
      <c r="R40"/>
      <c r="U40"/>
      <c r="V40"/>
      <c r="W40"/>
      <c r="X40"/>
      <c r="Y40"/>
      <c r="Z40"/>
      <c r="AA40"/>
      <c r="AB40"/>
    </row>
    <row r="41" spans="1:28" ht="41.25" customHeight="1" x14ac:dyDescent="0.2">
      <c r="A41" s="107">
        <v>1</v>
      </c>
      <c r="B41" s="93"/>
      <c r="C41" s="103" t="s">
        <v>222</v>
      </c>
      <c r="D41" s="445" t="s">
        <v>537</v>
      </c>
      <c r="E41" s="568"/>
      <c r="F41" s="568"/>
      <c r="G41" s="568"/>
      <c r="H41" s="568"/>
      <c r="I41" s="568"/>
      <c r="J41" s="568"/>
      <c r="K41" s="568"/>
      <c r="L41" s="568"/>
      <c r="M41" s="568"/>
      <c r="N41" s="569"/>
      <c r="O41" s="71"/>
      <c r="P41" s="95" t="str">
        <f t="shared" si="3"/>
        <v/>
      </c>
      <c r="Q41" s="173"/>
      <c r="R41"/>
      <c r="U41"/>
      <c r="V41"/>
      <c r="W41"/>
      <c r="X41"/>
      <c r="Y41"/>
      <c r="Z41"/>
      <c r="AA41"/>
      <c r="AB41"/>
    </row>
    <row r="42" spans="1:28" ht="34.5" customHeight="1" x14ac:dyDescent="0.2">
      <c r="A42" s="107"/>
      <c r="B42" s="93"/>
      <c r="C42" s="97" t="s">
        <v>223</v>
      </c>
      <c r="D42" s="445" t="s">
        <v>538</v>
      </c>
      <c r="E42" s="568"/>
      <c r="F42" s="568"/>
      <c r="G42" s="568"/>
      <c r="H42" s="568"/>
      <c r="I42" s="568"/>
      <c r="J42" s="568"/>
      <c r="K42" s="568"/>
      <c r="L42" s="568"/>
      <c r="M42" s="568"/>
      <c r="N42" s="569"/>
      <c r="O42" s="71"/>
      <c r="P42" s="95" t="str">
        <f t="shared" si="3"/>
        <v/>
      </c>
      <c r="Q42" s="173"/>
      <c r="R42"/>
      <c r="U42"/>
      <c r="V42"/>
      <c r="W42"/>
      <c r="X42"/>
      <c r="Y42"/>
      <c r="Z42"/>
      <c r="AA42"/>
      <c r="AB42"/>
    </row>
    <row r="43" spans="1:28" ht="33" customHeight="1" x14ac:dyDescent="0.2">
      <c r="A43" s="106">
        <v>1</v>
      </c>
      <c r="B43" s="93"/>
      <c r="C43" s="97" t="s">
        <v>224</v>
      </c>
      <c r="D43" s="445" t="s">
        <v>273</v>
      </c>
      <c r="E43" s="568"/>
      <c r="F43" s="568"/>
      <c r="G43" s="568"/>
      <c r="H43" s="568"/>
      <c r="I43" s="568"/>
      <c r="J43" s="568"/>
      <c r="K43" s="568"/>
      <c r="L43" s="568"/>
      <c r="M43" s="568"/>
      <c r="N43" s="569"/>
      <c r="O43" s="71"/>
      <c r="P43" s="95" t="str">
        <f t="shared" si="3"/>
        <v/>
      </c>
      <c r="Q43" s="173"/>
      <c r="R43"/>
      <c r="U43"/>
      <c r="V43"/>
      <c r="W43"/>
      <c r="X43"/>
      <c r="Y43"/>
      <c r="Z43"/>
      <c r="AA43"/>
      <c r="AB43"/>
    </row>
    <row r="44" spans="1:28" ht="35.25" customHeight="1" x14ac:dyDescent="0.2">
      <c r="A44" s="107" t="s">
        <v>73</v>
      </c>
      <c r="C44" s="103" t="s">
        <v>225</v>
      </c>
      <c r="D44" s="567" t="s">
        <v>274</v>
      </c>
      <c r="E44" s="470"/>
      <c r="F44" s="470"/>
      <c r="G44" s="470"/>
      <c r="H44" s="470"/>
      <c r="I44" s="470"/>
      <c r="J44" s="470"/>
      <c r="K44" s="470"/>
      <c r="L44" s="470"/>
      <c r="M44" s="470"/>
      <c r="N44" s="470"/>
      <c r="O44" s="71"/>
      <c r="P44" s="95" t="str">
        <f t="shared" si="3"/>
        <v/>
      </c>
      <c r="Q44" s="173"/>
      <c r="R44"/>
      <c r="U44"/>
      <c r="V44"/>
      <c r="W44"/>
      <c r="X44"/>
      <c r="Y44"/>
      <c r="Z44"/>
      <c r="AA44"/>
      <c r="AB44"/>
    </row>
    <row r="45" spans="1:28" ht="35.25" customHeight="1" x14ac:dyDescent="0.2">
      <c r="B45" s="93"/>
      <c r="C45" s="97" t="s">
        <v>226</v>
      </c>
      <c r="D45" s="445" t="s">
        <v>275</v>
      </c>
      <c r="E45" s="568"/>
      <c r="F45" s="568"/>
      <c r="G45" s="568"/>
      <c r="H45" s="568"/>
      <c r="I45" s="568"/>
      <c r="J45" s="568"/>
      <c r="K45" s="568"/>
      <c r="L45" s="568"/>
      <c r="M45" s="568"/>
      <c r="N45" s="569"/>
      <c r="O45" s="71"/>
      <c r="P45" s="95" t="str">
        <f t="shared" si="3"/>
        <v/>
      </c>
      <c r="Q45" s="173"/>
      <c r="R45"/>
      <c r="U45"/>
      <c r="V45"/>
      <c r="W45"/>
      <c r="X45"/>
      <c r="Y45"/>
      <c r="Z45"/>
      <c r="AA45"/>
      <c r="AB45"/>
    </row>
    <row r="46" spans="1:28" ht="18" customHeight="1" x14ac:dyDescent="0.2">
      <c r="C46" s="97" t="s">
        <v>227</v>
      </c>
      <c r="D46" s="445" t="s">
        <v>276</v>
      </c>
      <c r="E46" s="570"/>
      <c r="F46" s="570"/>
      <c r="G46" s="570"/>
      <c r="H46" s="570"/>
      <c r="I46" s="570"/>
      <c r="J46" s="570"/>
      <c r="K46" s="570"/>
      <c r="L46" s="570"/>
      <c r="M46" s="570"/>
      <c r="N46" s="570"/>
      <c r="O46" s="71"/>
      <c r="P46" s="95" t="str">
        <f t="shared" si="3"/>
        <v/>
      </c>
      <c r="Q46" s="173"/>
      <c r="R46"/>
      <c r="U46"/>
      <c r="V46"/>
      <c r="W46"/>
      <c r="X46"/>
      <c r="Y46"/>
      <c r="Z46"/>
      <c r="AA46"/>
      <c r="AB46"/>
    </row>
    <row r="47" spans="1:28" ht="35.25" customHeight="1" x14ac:dyDescent="0.2">
      <c r="A47" s="106">
        <v>1</v>
      </c>
      <c r="C47" s="103" t="s">
        <v>228</v>
      </c>
      <c r="D47" s="445" t="s">
        <v>277</v>
      </c>
      <c r="E47" s="568"/>
      <c r="F47" s="568"/>
      <c r="G47" s="568"/>
      <c r="H47" s="568"/>
      <c r="I47" s="568"/>
      <c r="J47" s="568"/>
      <c r="K47" s="568"/>
      <c r="L47" s="568"/>
      <c r="M47" s="568"/>
      <c r="N47" s="569"/>
      <c r="O47" s="71"/>
      <c r="P47" s="95" t="str">
        <f t="shared" si="3"/>
        <v/>
      </c>
      <c r="R47"/>
      <c r="U47"/>
      <c r="V47"/>
      <c r="W47"/>
      <c r="X47"/>
      <c r="Y47"/>
      <c r="Z47"/>
      <c r="AA47"/>
      <c r="AB47"/>
    </row>
    <row r="48" spans="1:28" ht="57.75" customHeight="1" x14ac:dyDescent="0.2">
      <c r="A48" s="107" t="s">
        <v>69</v>
      </c>
      <c r="C48" s="97" t="s">
        <v>229</v>
      </c>
      <c r="D48" s="565" t="s">
        <v>539</v>
      </c>
      <c r="E48" s="566"/>
      <c r="F48" s="566"/>
      <c r="G48" s="566"/>
      <c r="H48" s="566"/>
      <c r="I48" s="566"/>
      <c r="J48" s="566"/>
      <c r="K48" s="566"/>
      <c r="L48" s="566"/>
      <c r="M48" s="566"/>
      <c r="N48" s="566"/>
      <c r="O48" s="71"/>
      <c r="P48" s="95" t="str">
        <f t="shared" si="3"/>
        <v/>
      </c>
      <c r="Q48" s="171"/>
      <c r="R48"/>
      <c r="U48"/>
      <c r="V48"/>
      <c r="W48"/>
      <c r="X48"/>
      <c r="Y48"/>
      <c r="Z48"/>
      <c r="AA48"/>
      <c r="AB48"/>
    </row>
    <row r="49" spans="1:28" ht="39" customHeight="1" x14ac:dyDescent="0.2">
      <c r="A49" s="106">
        <v>1</v>
      </c>
      <c r="B49" s="93"/>
      <c r="C49" s="97" t="s">
        <v>230</v>
      </c>
      <c r="D49" s="567" t="s">
        <v>540</v>
      </c>
      <c r="E49" s="470"/>
      <c r="F49" s="470"/>
      <c r="G49" s="470"/>
      <c r="H49" s="470"/>
      <c r="I49" s="470"/>
      <c r="J49" s="470"/>
      <c r="K49" s="470"/>
      <c r="L49" s="470"/>
      <c r="M49" s="470"/>
      <c r="N49" s="471"/>
      <c r="O49" s="71"/>
      <c r="P49" s="95" t="str">
        <f t="shared" si="3"/>
        <v/>
      </c>
      <c r="Q49" s="123"/>
      <c r="R49"/>
      <c r="U49"/>
      <c r="V49"/>
      <c r="W49"/>
      <c r="X49"/>
      <c r="Y49"/>
      <c r="Z49"/>
      <c r="AA49"/>
      <c r="AB49"/>
    </row>
    <row r="50" spans="1:28" ht="19.5" customHeight="1" x14ac:dyDescent="0.2">
      <c r="A50" s="107" t="s">
        <v>73</v>
      </c>
      <c r="C50" s="580" t="s">
        <v>278</v>
      </c>
      <c r="D50" s="470"/>
      <c r="E50" s="470"/>
      <c r="F50" s="470"/>
      <c r="G50" s="470"/>
      <c r="H50" s="470"/>
      <c r="I50" s="470"/>
      <c r="J50" s="470"/>
      <c r="K50" s="470"/>
      <c r="L50" s="470"/>
      <c r="M50" s="470"/>
      <c r="N50" s="470"/>
      <c r="O50" s="347"/>
      <c r="P50" s="344"/>
      <c r="Q50" s="99"/>
      <c r="R50"/>
      <c r="U50"/>
      <c r="V50"/>
      <c r="W50"/>
      <c r="X50"/>
      <c r="Y50"/>
      <c r="Z50"/>
      <c r="AA50"/>
      <c r="AB50"/>
    </row>
    <row r="51" spans="1:28" ht="25.5" customHeight="1" x14ac:dyDescent="0.2">
      <c r="A51" s="107" t="s">
        <v>69</v>
      </c>
      <c r="B51" s="93"/>
      <c r="C51" s="581" t="s">
        <v>17</v>
      </c>
      <c r="D51" s="470"/>
      <c r="E51" s="470"/>
      <c r="F51" s="470"/>
      <c r="G51" s="470"/>
      <c r="H51" s="470"/>
      <c r="I51" s="470"/>
      <c r="J51" s="470"/>
      <c r="K51" s="470"/>
      <c r="L51" s="470"/>
      <c r="M51" s="470"/>
      <c r="N51" s="470"/>
      <c r="O51" s="345"/>
      <c r="Q51" s="359"/>
      <c r="R51"/>
      <c r="U51"/>
      <c r="V51"/>
      <c r="W51"/>
      <c r="X51"/>
      <c r="Y51"/>
      <c r="Z51"/>
      <c r="AA51"/>
      <c r="AB51"/>
    </row>
    <row r="52" spans="1:28" ht="21.75" customHeight="1" x14ac:dyDescent="0.25">
      <c r="A52" s="106">
        <v>1</v>
      </c>
      <c r="B52" s="93"/>
      <c r="C52" s="100" t="s">
        <v>264</v>
      </c>
      <c r="D52" s="576" t="s">
        <v>74</v>
      </c>
      <c r="E52" s="577"/>
      <c r="F52" s="577"/>
      <c r="G52" s="577"/>
      <c r="H52" s="577"/>
      <c r="I52" s="577"/>
      <c r="J52" s="577"/>
      <c r="K52" s="577"/>
      <c r="L52" s="577"/>
      <c r="M52" s="577"/>
      <c r="N52" s="578"/>
      <c r="O52" s="101" t="s">
        <v>265</v>
      </c>
      <c r="P52" s="101" t="s">
        <v>266</v>
      </c>
      <c r="Q52" s="173"/>
      <c r="R52"/>
      <c r="U52"/>
      <c r="V52"/>
      <c r="W52"/>
      <c r="X52"/>
      <c r="Y52"/>
      <c r="Z52"/>
      <c r="AA52"/>
      <c r="AB52"/>
    </row>
    <row r="53" spans="1:28" ht="34.5" customHeight="1" x14ac:dyDescent="0.2">
      <c r="A53" s="106">
        <v>1</v>
      </c>
      <c r="C53" s="94" t="s">
        <v>232</v>
      </c>
      <c r="D53" s="601" t="s">
        <v>279</v>
      </c>
      <c r="E53" s="595"/>
      <c r="F53" s="595"/>
      <c r="G53" s="595"/>
      <c r="H53" s="595"/>
      <c r="I53" s="595"/>
      <c r="J53" s="595"/>
      <c r="K53" s="595"/>
      <c r="L53" s="595"/>
      <c r="M53" s="595"/>
      <c r="N53" s="595"/>
      <c r="O53" s="71"/>
      <c r="P53" s="95" t="str">
        <f t="shared" ref="P53:P60" si="4">IF(O53="","",IF(O53="Yes","Pass",IF(O53="No","Fail","N/A")))</f>
        <v/>
      </c>
      <c r="Q53" s="173"/>
      <c r="R53"/>
      <c r="U53"/>
      <c r="V53"/>
      <c r="W53"/>
      <c r="X53"/>
      <c r="Y53"/>
      <c r="Z53"/>
      <c r="AA53"/>
      <c r="AB53"/>
    </row>
    <row r="54" spans="1:28" ht="60.75" customHeight="1" x14ac:dyDescent="0.2">
      <c r="A54" s="106">
        <v>1</v>
      </c>
      <c r="C54" s="94" t="s">
        <v>233</v>
      </c>
      <c r="D54" s="601" t="s">
        <v>457</v>
      </c>
      <c r="E54" s="605"/>
      <c r="F54" s="605"/>
      <c r="G54" s="605"/>
      <c r="H54" s="605"/>
      <c r="I54" s="605"/>
      <c r="J54" s="605"/>
      <c r="K54" s="605"/>
      <c r="L54" s="605"/>
      <c r="M54" s="605"/>
      <c r="N54" s="606"/>
      <c r="O54" s="71"/>
      <c r="P54" s="95" t="str">
        <f t="shared" si="4"/>
        <v/>
      </c>
      <c r="Q54" s="173"/>
      <c r="R54"/>
      <c r="U54"/>
      <c r="V54"/>
      <c r="W54"/>
      <c r="X54"/>
      <c r="Y54"/>
      <c r="Z54"/>
      <c r="AA54"/>
      <c r="AB54"/>
    </row>
    <row r="55" spans="1:28" ht="38.25" customHeight="1" x14ac:dyDescent="0.2">
      <c r="A55" s="106">
        <v>1</v>
      </c>
      <c r="B55" s="107" t="s">
        <v>70</v>
      </c>
      <c r="C55" s="94" t="s">
        <v>458</v>
      </c>
      <c r="D55" s="602" t="s">
        <v>454</v>
      </c>
      <c r="E55" s="603"/>
      <c r="F55" s="603"/>
      <c r="G55" s="603"/>
      <c r="H55" s="603"/>
      <c r="I55" s="603"/>
      <c r="J55" s="603"/>
      <c r="K55" s="603"/>
      <c r="L55" s="603"/>
      <c r="M55" s="603"/>
      <c r="N55" s="604"/>
      <c r="O55" s="71"/>
      <c r="P55" s="95" t="str">
        <f t="shared" si="4"/>
        <v/>
      </c>
      <c r="Q55" s="173"/>
      <c r="R55"/>
      <c r="U55"/>
      <c r="V55"/>
      <c r="W55"/>
      <c r="X55"/>
      <c r="Y55"/>
      <c r="Z55"/>
      <c r="AA55"/>
      <c r="AB55"/>
    </row>
    <row r="56" spans="1:28" ht="68.25" customHeight="1" x14ac:dyDescent="0.2">
      <c r="A56" s="107" t="s">
        <v>73</v>
      </c>
      <c r="C56" s="94" t="s">
        <v>234</v>
      </c>
      <c r="D56" s="594" t="s">
        <v>541</v>
      </c>
      <c r="E56" s="595"/>
      <c r="F56" s="595"/>
      <c r="G56" s="595"/>
      <c r="H56" s="595"/>
      <c r="I56" s="595"/>
      <c r="J56" s="595"/>
      <c r="K56" s="595"/>
      <c r="L56" s="595"/>
      <c r="M56" s="595"/>
      <c r="N56" s="596"/>
      <c r="O56" s="71"/>
      <c r="P56" s="95" t="str">
        <f t="shared" si="4"/>
        <v/>
      </c>
      <c r="Q56" s="173"/>
      <c r="R56"/>
      <c r="U56"/>
      <c r="V56"/>
      <c r="W56"/>
      <c r="X56"/>
      <c r="Y56"/>
      <c r="Z56"/>
      <c r="AA56"/>
      <c r="AB56"/>
    </row>
    <row r="57" spans="1:28" ht="31.5" customHeight="1" x14ac:dyDescent="0.2">
      <c r="B57" s="93"/>
      <c r="C57" s="94" t="s">
        <v>235</v>
      </c>
      <c r="D57" s="602" t="s">
        <v>459</v>
      </c>
      <c r="E57" s="603"/>
      <c r="F57" s="603"/>
      <c r="G57" s="603"/>
      <c r="H57" s="603"/>
      <c r="I57" s="603"/>
      <c r="J57" s="603"/>
      <c r="K57" s="603"/>
      <c r="L57" s="603"/>
      <c r="M57" s="603"/>
      <c r="N57" s="604"/>
      <c r="O57" s="71"/>
      <c r="P57" s="95" t="str">
        <f t="shared" si="4"/>
        <v/>
      </c>
      <c r="Q57" s="173"/>
      <c r="R57"/>
      <c r="U57"/>
      <c r="V57"/>
      <c r="W57"/>
      <c r="X57"/>
      <c r="Y57"/>
      <c r="Z57"/>
      <c r="AA57"/>
      <c r="AB57"/>
    </row>
    <row r="58" spans="1:28" ht="40.5" customHeight="1" x14ac:dyDescent="0.2">
      <c r="C58" s="104" t="s">
        <v>460</v>
      </c>
      <c r="D58" s="597" t="s">
        <v>455</v>
      </c>
      <c r="E58" s="595"/>
      <c r="F58" s="595"/>
      <c r="G58" s="595"/>
      <c r="H58" s="595"/>
      <c r="I58" s="595"/>
      <c r="J58" s="595"/>
      <c r="K58" s="595"/>
      <c r="L58" s="595"/>
      <c r="M58" s="595"/>
      <c r="N58" s="596"/>
      <c r="O58" s="71"/>
      <c r="P58" s="95" t="str">
        <f t="shared" si="4"/>
        <v/>
      </c>
      <c r="Q58" s="173"/>
      <c r="R58"/>
      <c r="U58"/>
      <c r="V58"/>
      <c r="W58"/>
      <c r="X58"/>
      <c r="Y58"/>
      <c r="Z58"/>
      <c r="AA58"/>
      <c r="AB58"/>
    </row>
    <row r="59" spans="1:28" ht="30" customHeight="1" x14ac:dyDescent="0.2">
      <c r="A59" s="107" t="s">
        <v>70</v>
      </c>
      <c r="C59" s="104" t="s">
        <v>236</v>
      </c>
      <c r="D59" s="598" t="s">
        <v>456</v>
      </c>
      <c r="E59" s="599"/>
      <c r="F59" s="599"/>
      <c r="G59" s="599"/>
      <c r="H59" s="599"/>
      <c r="I59" s="599"/>
      <c r="J59" s="599"/>
      <c r="K59" s="599"/>
      <c r="L59" s="599"/>
      <c r="M59" s="599"/>
      <c r="N59" s="600"/>
      <c r="O59" s="71"/>
      <c r="P59" s="95" t="str">
        <f t="shared" si="4"/>
        <v/>
      </c>
      <c r="Q59" s="173"/>
      <c r="R59"/>
      <c r="U59"/>
      <c r="V59"/>
      <c r="W59"/>
      <c r="X59"/>
      <c r="Y59"/>
      <c r="Z59"/>
      <c r="AA59"/>
      <c r="AB59"/>
    </row>
    <row r="60" spans="1:28" ht="30" customHeight="1" x14ac:dyDescent="0.2">
      <c r="A60" s="107" t="s">
        <v>70</v>
      </c>
      <c r="B60" s="93"/>
      <c r="C60" s="104" t="s">
        <v>237</v>
      </c>
      <c r="D60" s="598" t="s">
        <v>280</v>
      </c>
      <c r="E60" s="599"/>
      <c r="F60" s="599"/>
      <c r="G60" s="599"/>
      <c r="H60" s="599"/>
      <c r="I60" s="599"/>
      <c r="J60" s="599"/>
      <c r="K60" s="599"/>
      <c r="L60" s="599"/>
      <c r="M60" s="599"/>
      <c r="N60" s="600"/>
      <c r="O60" s="71"/>
      <c r="P60" s="95" t="str">
        <f t="shared" si="4"/>
        <v/>
      </c>
      <c r="Q60" s="171"/>
      <c r="R60"/>
      <c r="U60"/>
      <c r="V60"/>
      <c r="W60"/>
      <c r="X60"/>
      <c r="Y60"/>
      <c r="Z60"/>
      <c r="AA60"/>
      <c r="AB60"/>
    </row>
    <row r="61" spans="1:28" ht="22.5" customHeight="1" x14ac:dyDescent="0.2">
      <c r="A61" s="107" t="s">
        <v>69</v>
      </c>
      <c r="B61" s="107" t="s">
        <v>69</v>
      </c>
      <c r="C61" s="580" t="s">
        <v>281</v>
      </c>
      <c r="D61" s="470"/>
      <c r="E61" s="470"/>
      <c r="F61" s="470"/>
      <c r="G61" s="470"/>
      <c r="H61" s="470"/>
      <c r="I61" s="470"/>
      <c r="J61" s="470"/>
      <c r="K61" s="470"/>
      <c r="L61" s="470"/>
      <c r="M61" s="470"/>
      <c r="N61" s="470"/>
      <c r="O61" s="347"/>
      <c r="P61" s="345"/>
      <c r="Q61" s="172"/>
      <c r="R61"/>
      <c r="U61"/>
      <c r="V61"/>
      <c r="W61"/>
      <c r="X61"/>
      <c r="Y61"/>
      <c r="Z61"/>
      <c r="AA61"/>
      <c r="AB61"/>
    </row>
    <row r="62" spans="1:28" ht="28.5" customHeight="1" x14ac:dyDescent="0.2">
      <c r="A62" s="107"/>
      <c r="B62" s="147"/>
      <c r="C62" s="581" t="s">
        <v>17</v>
      </c>
      <c r="D62" s="470"/>
      <c r="E62" s="470"/>
      <c r="F62" s="470"/>
      <c r="G62" s="470"/>
      <c r="H62" s="470"/>
      <c r="I62" s="470"/>
      <c r="J62" s="470"/>
      <c r="K62" s="470"/>
      <c r="L62" s="470"/>
      <c r="M62" s="470"/>
      <c r="N62" s="470"/>
      <c r="O62" s="345"/>
      <c r="Q62" s="171"/>
      <c r="R62"/>
      <c r="U62"/>
      <c r="V62"/>
      <c r="W62"/>
      <c r="X62"/>
      <c r="Y62"/>
      <c r="Z62"/>
      <c r="AA62"/>
      <c r="AB62"/>
    </row>
    <row r="63" spans="1:28" ht="30" customHeight="1" x14ac:dyDescent="0.25">
      <c r="A63" s="107" t="s">
        <v>70</v>
      </c>
      <c r="B63" s="93"/>
      <c r="C63" s="100" t="s">
        <v>264</v>
      </c>
      <c r="D63" s="573" t="s">
        <v>75</v>
      </c>
      <c r="E63" s="574"/>
      <c r="F63" s="574"/>
      <c r="G63" s="574"/>
      <c r="H63" s="574"/>
      <c r="I63" s="574"/>
      <c r="J63" s="574"/>
      <c r="K63" s="574"/>
      <c r="L63" s="574"/>
      <c r="M63" s="574"/>
      <c r="N63" s="440"/>
      <c r="O63" s="101" t="s">
        <v>265</v>
      </c>
      <c r="P63" s="101" t="s">
        <v>266</v>
      </c>
      <c r="Q63" s="359"/>
      <c r="R63"/>
      <c r="U63"/>
      <c r="V63"/>
      <c r="W63"/>
      <c r="X63"/>
      <c r="Y63"/>
      <c r="Z63"/>
      <c r="AA63"/>
      <c r="AB63"/>
    </row>
    <row r="64" spans="1:28" ht="30" customHeight="1" x14ac:dyDescent="0.2">
      <c r="A64" s="107" t="s">
        <v>70</v>
      </c>
      <c r="B64" s="93"/>
      <c r="C64" s="94" t="s">
        <v>239</v>
      </c>
      <c r="D64" s="567" t="s">
        <v>461</v>
      </c>
      <c r="E64" s="470"/>
      <c r="F64" s="470"/>
      <c r="G64" s="470"/>
      <c r="H64" s="470"/>
      <c r="I64" s="470"/>
      <c r="J64" s="470"/>
      <c r="K64" s="470"/>
      <c r="L64" s="470"/>
      <c r="M64" s="470"/>
      <c r="N64" s="471"/>
      <c r="O64" s="71"/>
      <c r="P64" s="95" t="str">
        <f t="shared" ref="P64:P69" si="5">IF(O64="","",IF(O64="Yes","Pass",IF(O64="No","Fail","N/A")))</f>
        <v/>
      </c>
      <c r="Q64" s="173"/>
      <c r="R64"/>
      <c r="U64"/>
      <c r="V64"/>
      <c r="W64"/>
      <c r="X64"/>
      <c r="Y64"/>
      <c r="Z64"/>
      <c r="AA64"/>
      <c r="AB64"/>
    </row>
    <row r="65" spans="1:28" ht="33.75" customHeight="1" x14ac:dyDescent="0.2">
      <c r="A65" s="107" t="s">
        <v>76</v>
      </c>
      <c r="B65" s="93"/>
      <c r="C65" s="94" t="s">
        <v>240</v>
      </c>
      <c r="D65" s="567" t="s">
        <v>282</v>
      </c>
      <c r="E65" s="470"/>
      <c r="F65" s="470"/>
      <c r="G65" s="470"/>
      <c r="H65" s="470"/>
      <c r="I65" s="470"/>
      <c r="J65" s="470"/>
      <c r="K65" s="470"/>
      <c r="L65" s="470"/>
      <c r="M65" s="470"/>
      <c r="N65" s="471"/>
      <c r="O65" s="71"/>
      <c r="P65" s="95" t="str">
        <f t="shared" si="5"/>
        <v/>
      </c>
      <c r="Q65" s="173"/>
      <c r="R65"/>
      <c r="U65"/>
      <c r="V65"/>
      <c r="W65"/>
      <c r="X65"/>
      <c r="Y65"/>
      <c r="Z65"/>
      <c r="AA65"/>
      <c r="AB65"/>
    </row>
    <row r="66" spans="1:28" ht="49.5" customHeight="1" x14ac:dyDescent="0.2">
      <c r="A66" s="106">
        <v>1</v>
      </c>
      <c r="B66" s="93"/>
      <c r="C66" s="94" t="s">
        <v>241</v>
      </c>
      <c r="D66" s="567" t="s">
        <v>462</v>
      </c>
      <c r="E66" s="470"/>
      <c r="F66" s="470"/>
      <c r="G66" s="470"/>
      <c r="H66" s="470"/>
      <c r="I66" s="470"/>
      <c r="J66" s="470"/>
      <c r="K66" s="470"/>
      <c r="L66" s="470"/>
      <c r="M66" s="470"/>
      <c r="N66" s="471"/>
      <c r="O66" s="71"/>
      <c r="P66" s="95" t="str">
        <f t="shared" si="5"/>
        <v/>
      </c>
      <c r="Q66" s="173"/>
      <c r="R66"/>
      <c r="U66"/>
      <c r="V66"/>
      <c r="W66"/>
      <c r="X66"/>
      <c r="Y66"/>
      <c r="Z66"/>
      <c r="AA66"/>
      <c r="AB66"/>
    </row>
    <row r="67" spans="1:28" ht="35.25" customHeight="1" x14ac:dyDescent="0.2">
      <c r="A67" s="107" t="s">
        <v>73</v>
      </c>
      <c r="C67" s="148" t="s">
        <v>542</v>
      </c>
      <c r="D67" s="593" t="s">
        <v>464</v>
      </c>
      <c r="E67" s="470"/>
      <c r="F67" s="470"/>
      <c r="G67" s="470"/>
      <c r="H67" s="470"/>
      <c r="I67" s="470"/>
      <c r="J67" s="470"/>
      <c r="K67" s="470"/>
      <c r="L67" s="470"/>
      <c r="M67" s="470"/>
      <c r="N67" s="470"/>
      <c r="O67" s="71"/>
      <c r="P67" s="95" t="str">
        <f t="shared" si="5"/>
        <v/>
      </c>
      <c r="Q67" s="173"/>
      <c r="R67"/>
      <c r="U67"/>
      <c r="V67"/>
      <c r="W67"/>
      <c r="X67"/>
      <c r="Y67"/>
      <c r="Z67"/>
      <c r="AA67"/>
      <c r="AB67"/>
    </row>
    <row r="68" spans="1:28" ht="36" customHeight="1" x14ac:dyDescent="0.2">
      <c r="B68" s="93"/>
      <c r="C68" s="94" t="s">
        <v>242</v>
      </c>
      <c r="D68" s="469" t="s">
        <v>546</v>
      </c>
      <c r="E68" s="470"/>
      <c r="F68" s="470"/>
      <c r="G68" s="470"/>
      <c r="H68" s="470"/>
      <c r="I68" s="470"/>
      <c r="J68" s="470"/>
      <c r="K68" s="470"/>
      <c r="L68" s="470"/>
      <c r="M68" s="470"/>
      <c r="N68" s="471"/>
      <c r="O68" s="71"/>
      <c r="P68" s="95" t="str">
        <f t="shared" si="5"/>
        <v/>
      </c>
      <c r="Q68" s="173"/>
      <c r="R68"/>
      <c r="U68"/>
      <c r="V68"/>
      <c r="W68"/>
      <c r="X68"/>
      <c r="Y68"/>
      <c r="Z68"/>
      <c r="AA68"/>
      <c r="AB68"/>
    </row>
    <row r="69" spans="1:28" ht="52.5" customHeight="1" x14ac:dyDescent="0.2">
      <c r="C69" s="94" t="s">
        <v>243</v>
      </c>
      <c r="D69" s="469" t="s">
        <v>547</v>
      </c>
      <c r="E69" s="470"/>
      <c r="F69" s="470"/>
      <c r="G69" s="470"/>
      <c r="H69" s="470"/>
      <c r="I69" s="470"/>
      <c r="J69" s="470"/>
      <c r="K69" s="470"/>
      <c r="L69" s="470"/>
      <c r="M69" s="470"/>
      <c r="N69" s="471"/>
      <c r="O69" s="71"/>
      <c r="P69" s="95" t="str">
        <f t="shared" si="5"/>
        <v/>
      </c>
      <c r="Q69" s="173"/>
      <c r="R69"/>
      <c r="U69"/>
      <c r="V69"/>
      <c r="W69"/>
      <c r="X69"/>
      <c r="Y69"/>
      <c r="Z69"/>
      <c r="AA69"/>
      <c r="AB69"/>
    </row>
    <row r="70" spans="1:28" ht="21" customHeight="1" x14ac:dyDescent="0.25">
      <c r="A70" s="107" t="s">
        <v>70</v>
      </c>
      <c r="C70" s="608" t="s">
        <v>283</v>
      </c>
      <c r="D70" s="486"/>
      <c r="E70" s="486"/>
      <c r="F70" s="486"/>
      <c r="G70" s="486"/>
      <c r="H70" s="486"/>
      <c r="I70" s="486"/>
      <c r="J70" s="486"/>
      <c r="K70" s="486"/>
      <c r="L70" s="486"/>
      <c r="M70" s="486"/>
      <c r="N70" s="486"/>
      <c r="O70" s="348"/>
      <c r="P70" s="342"/>
      <c r="Q70" s="173"/>
      <c r="R70"/>
      <c r="U70"/>
      <c r="V70"/>
      <c r="W70"/>
      <c r="X70"/>
      <c r="Y70"/>
      <c r="Z70"/>
      <c r="AA70"/>
      <c r="AB70"/>
    </row>
    <row r="71" spans="1:28" ht="29.25" customHeight="1" x14ac:dyDescent="0.25">
      <c r="A71" s="107" t="s">
        <v>285</v>
      </c>
      <c r="B71" s="93"/>
      <c r="C71" s="581" t="s">
        <v>17</v>
      </c>
      <c r="D71" s="470"/>
      <c r="E71" s="470"/>
      <c r="F71" s="470"/>
      <c r="G71" s="470"/>
      <c r="H71" s="470"/>
      <c r="I71" s="470"/>
      <c r="J71" s="470"/>
      <c r="K71" s="470"/>
      <c r="L71" s="470"/>
      <c r="M71" s="470"/>
      <c r="N71" s="470"/>
      <c r="O71" s="345"/>
      <c r="Q71" s="352"/>
      <c r="R71"/>
      <c r="U71"/>
      <c r="V71"/>
      <c r="W71"/>
      <c r="X71"/>
      <c r="Y71"/>
      <c r="Z71"/>
      <c r="AA71"/>
      <c r="AB71"/>
    </row>
    <row r="72" spans="1:28" ht="21.75" customHeight="1" x14ac:dyDescent="0.25">
      <c r="A72" s="107" t="s">
        <v>76</v>
      </c>
      <c r="B72" s="107" t="s">
        <v>286</v>
      </c>
      <c r="C72" s="100" t="s">
        <v>264</v>
      </c>
      <c r="D72" s="573" t="s">
        <v>77</v>
      </c>
      <c r="E72" s="574"/>
      <c r="F72" s="574"/>
      <c r="G72" s="574"/>
      <c r="H72" s="574"/>
      <c r="I72" s="574"/>
      <c r="J72" s="574"/>
      <c r="K72" s="574"/>
      <c r="L72" s="574"/>
      <c r="M72" s="574"/>
      <c r="N72" s="574"/>
      <c r="O72" s="101" t="s">
        <v>265</v>
      </c>
      <c r="P72" s="101" t="s">
        <v>266</v>
      </c>
      <c r="Q72" s="172"/>
      <c r="R72"/>
      <c r="U72"/>
      <c r="V72"/>
      <c r="W72"/>
      <c r="X72"/>
      <c r="Y72"/>
      <c r="Z72"/>
      <c r="AA72"/>
      <c r="AB72"/>
    </row>
    <row r="73" spans="1:28" ht="36" customHeight="1" x14ac:dyDescent="0.2">
      <c r="A73" s="107" t="s">
        <v>287</v>
      </c>
      <c r="B73" s="107" t="s">
        <v>80</v>
      </c>
      <c r="C73" s="102" t="s">
        <v>245</v>
      </c>
      <c r="D73" s="607" t="s">
        <v>284</v>
      </c>
      <c r="E73" s="470"/>
      <c r="F73" s="470"/>
      <c r="G73" s="470"/>
      <c r="H73" s="470"/>
      <c r="I73" s="470"/>
      <c r="J73" s="470"/>
      <c r="K73" s="470"/>
      <c r="L73" s="470"/>
      <c r="M73" s="470"/>
      <c r="N73" s="470"/>
      <c r="O73" s="71"/>
      <c r="P73" s="95" t="str">
        <f>IF(O73="","",IF(O73="Yes","Fail",IF(O73="No","Pass","N/A")))</f>
        <v/>
      </c>
      <c r="R73"/>
      <c r="U73"/>
      <c r="V73"/>
      <c r="W73"/>
      <c r="X73"/>
      <c r="Y73"/>
      <c r="Z73"/>
      <c r="AA73"/>
      <c r="AB73"/>
    </row>
    <row r="74" spans="1:28" ht="189" customHeight="1" x14ac:dyDescent="0.2">
      <c r="A74" s="107" t="s">
        <v>288</v>
      </c>
      <c r="B74" s="93"/>
      <c r="C74" s="102" t="s">
        <v>246</v>
      </c>
      <c r="D74" s="609" t="s">
        <v>552</v>
      </c>
      <c r="E74" s="470"/>
      <c r="F74" s="470"/>
      <c r="G74" s="470"/>
      <c r="H74" s="470"/>
      <c r="I74" s="470"/>
      <c r="J74" s="470"/>
      <c r="K74" s="470"/>
      <c r="L74" s="470"/>
      <c r="M74" s="470"/>
      <c r="N74" s="470"/>
      <c r="O74" s="71"/>
      <c r="P74" s="95" t="str">
        <f>IF(O74="","",IF(O74="Yes","Fail",IF(O74="No","Pass","N/A")))</f>
        <v/>
      </c>
      <c r="Q74" s="359"/>
      <c r="R74"/>
      <c r="U74"/>
      <c r="V74"/>
      <c r="W74"/>
      <c r="X74"/>
      <c r="Y74"/>
      <c r="Z74"/>
      <c r="AA74"/>
      <c r="AB74"/>
    </row>
    <row r="75" spans="1:28" ht="94.5" customHeight="1" x14ac:dyDescent="0.2">
      <c r="A75" s="107" t="s">
        <v>81</v>
      </c>
      <c r="B75" s="93"/>
      <c r="C75" s="102" t="s">
        <v>247</v>
      </c>
      <c r="D75" s="609" t="s">
        <v>551</v>
      </c>
      <c r="E75" s="470"/>
      <c r="F75" s="470"/>
      <c r="G75" s="470"/>
      <c r="H75" s="470"/>
      <c r="I75" s="470"/>
      <c r="J75" s="470"/>
      <c r="K75" s="470"/>
      <c r="L75" s="470"/>
      <c r="M75" s="470"/>
      <c r="N75" s="470"/>
      <c r="O75" s="71"/>
      <c r="P75" s="95" t="str">
        <f t="shared" ref="P75:P82" si="6">IF(O75="","",IF(O75="Yes","Pass",IF(O75="No","Fail","N/A")))</f>
        <v/>
      </c>
      <c r="Q75" s="173"/>
      <c r="R75"/>
      <c r="U75"/>
      <c r="V75"/>
      <c r="W75"/>
      <c r="X75"/>
      <c r="Y75"/>
      <c r="Z75"/>
      <c r="AA75"/>
      <c r="AB75"/>
    </row>
    <row r="76" spans="1:28" ht="126" customHeight="1" x14ac:dyDescent="0.2">
      <c r="A76" s="107" t="s">
        <v>69</v>
      </c>
      <c r="B76" s="93"/>
      <c r="C76" s="102" t="s">
        <v>248</v>
      </c>
      <c r="D76" s="579" t="s">
        <v>550</v>
      </c>
      <c r="E76" s="572"/>
      <c r="F76" s="572"/>
      <c r="G76" s="572"/>
      <c r="H76" s="572"/>
      <c r="I76" s="572"/>
      <c r="J76" s="572"/>
      <c r="K76" s="572"/>
      <c r="L76" s="572"/>
      <c r="M76" s="572"/>
      <c r="N76" s="572"/>
      <c r="O76" s="71"/>
      <c r="P76" s="95" t="str">
        <f t="shared" si="6"/>
        <v/>
      </c>
      <c r="Q76" s="173"/>
      <c r="R76"/>
      <c r="U76"/>
      <c r="V76"/>
      <c r="W76"/>
      <c r="X76"/>
      <c r="Y76"/>
      <c r="Z76"/>
      <c r="AA76"/>
      <c r="AB76"/>
    </row>
    <row r="77" spans="1:28" ht="78" customHeight="1" x14ac:dyDescent="0.2">
      <c r="A77" s="107" t="s">
        <v>288</v>
      </c>
      <c r="B77" s="93"/>
      <c r="C77" s="102" t="s">
        <v>249</v>
      </c>
      <c r="D77" s="579" t="s">
        <v>289</v>
      </c>
      <c r="E77" s="572"/>
      <c r="F77" s="572"/>
      <c r="G77" s="572"/>
      <c r="H77" s="572"/>
      <c r="I77" s="572"/>
      <c r="J77" s="572"/>
      <c r="K77" s="572"/>
      <c r="L77" s="572"/>
      <c r="M77" s="572"/>
      <c r="N77" s="582"/>
      <c r="O77" s="71"/>
      <c r="P77" s="95" t="str">
        <f t="shared" si="6"/>
        <v/>
      </c>
      <c r="Q77" s="173"/>
      <c r="R77"/>
      <c r="U77"/>
      <c r="V77"/>
      <c r="W77"/>
      <c r="X77"/>
      <c r="Y77"/>
      <c r="Z77"/>
      <c r="AA77"/>
      <c r="AB77"/>
    </row>
    <row r="78" spans="1:28" ht="108.75" customHeight="1" x14ac:dyDescent="0.2">
      <c r="A78" s="107" t="s">
        <v>73</v>
      </c>
      <c r="B78" s="93"/>
      <c r="C78" s="102" t="s">
        <v>250</v>
      </c>
      <c r="D78" s="579" t="s">
        <v>543</v>
      </c>
      <c r="E78" s="572"/>
      <c r="F78" s="572"/>
      <c r="G78" s="572"/>
      <c r="H78" s="572"/>
      <c r="I78" s="572"/>
      <c r="J78" s="572"/>
      <c r="K78" s="572"/>
      <c r="L78" s="572"/>
      <c r="M78" s="572"/>
      <c r="N78" s="582"/>
      <c r="O78" s="71"/>
      <c r="P78" s="95" t="str">
        <f t="shared" si="6"/>
        <v/>
      </c>
      <c r="Q78" s="173"/>
      <c r="R78"/>
      <c r="U78"/>
      <c r="V78"/>
      <c r="W78"/>
      <c r="X78"/>
      <c r="Y78"/>
      <c r="Z78"/>
      <c r="AA78"/>
      <c r="AB78"/>
    </row>
    <row r="79" spans="1:28" ht="36" customHeight="1" x14ac:dyDescent="0.2">
      <c r="A79" s="107" t="s">
        <v>81</v>
      </c>
      <c r="B79" s="93"/>
      <c r="C79" s="102" t="s">
        <v>251</v>
      </c>
      <c r="D79" s="567" t="s">
        <v>290</v>
      </c>
      <c r="E79" s="572"/>
      <c r="F79" s="572"/>
      <c r="G79" s="572"/>
      <c r="H79" s="572"/>
      <c r="I79" s="572"/>
      <c r="J79" s="572"/>
      <c r="K79" s="572"/>
      <c r="L79" s="572"/>
      <c r="M79" s="572"/>
      <c r="N79" s="582"/>
      <c r="O79" s="71"/>
      <c r="P79" s="95" t="str">
        <f t="shared" si="6"/>
        <v/>
      </c>
      <c r="Q79" s="173"/>
      <c r="R79"/>
      <c r="U79"/>
      <c r="V79"/>
      <c r="W79"/>
      <c r="X79"/>
      <c r="Y79"/>
      <c r="Z79"/>
      <c r="AA79"/>
      <c r="AB79"/>
    </row>
    <row r="80" spans="1:28" ht="91.5" customHeight="1" x14ac:dyDescent="0.2">
      <c r="A80" s="107" t="s">
        <v>81</v>
      </c>
      <c r="B80" s="93"/>
      <c r="C80" s="102" t="s">
        <v>252</v>
      </c>
      <c r="D80" s="579" t="s">
        <v>549</v>
      </c>
      <c r="E80" s="572"/>
      <c r="F80" s="572"/>
      <c r="G80" s="572"/>
      <c r="H80" s="572"/>
      <c r="I80" s="572"/>
      <c r="J80" s="572"/>
      <c r="K80" s="572"/>
      <c r="L80" s="572"/>
      <c r="M80" s="572"/>
      <c r="N80" s="582"/>
      <c r="O80" s="71"/>
      <c r="P80" s="95" t="str">
        <f t="shared" si="6"/>
        <v/>
      </c>
      <c r="Q80" s="173"/>
      <c r="R80"/>
      <c r="U80"/>
      <c r="V80"/>
      <c r="W80"/>
      <c r="X80"/>
      <c r="Y80"/>
      <c r="Z80"/>
      <c r="AA80"/>
      <c r="AB80"/>
    </row>
    <row r="81" spans="1:18" ht="61.5" customHeight="1" x14ac:dyDescent="0.2">
      <c r="A81" s="107" t="s">
        <v>288</v>
      </c>
      <c r="B81" s="93"/>
      <c r="C81" s="102" t="s">
        <v>253</v>
      </c>
      <c r="D81" s="579" t="s">
        <v>291</v>
      </c>
      <c r="E81" s="572"/>
      <c r="F81" s="572"/>
      <c r="G81" s="572"/>
      <c r="H81" s="572"/>
      <c r="I81" s="572"/>
      <c r="J81" s="572"/>
      <c r="K81" s="572"/>
      <c r="L81" s="572"/>
      <c r="M81" s="572"/>
      <c r="N81" s="582"/>
      <c r="O81" s="71"/>
      <c r="P81" s="95" t="str">
        <f t="shared" si="6"/>
        <v/>
      </c>
      <c r="Q81"/>
      <c r="R81"/>
    </row>
    <row r="82" spans="1:18" ht="78.75" customHeight="1" x14ac:dyDescent="0.2">
      <c r="A82" s="106">
        <v>1</v>
      </c>
      <c r="B82" s="93"/>
      <c r="C82" s="102" t="s">
        <v>254</v>
      </c>
      <c r="D82" s="609" t="s">
        <v>548</v>
      </c>
      <c r="E82" s="470"/>
      <c r="F82" s="470"/>
      <c r="G82" s="470"/>
      <c r="H82" s="470"/>
      <c r="I82" s="470"/>
      <c r="J82" s="470"/>
      <c r="K82" s="470"/>
      <c r="L82" s="470"/>
      <c r="M82" s="470"/>
      <c r="N82" s="471"/>
      <c r="O82" s="71"/>
      <c r="P82" s="95" t="str">
        <f t="shared" si="6"/>
        <v/>
      </c>
      <c r="Q82"/>
      <c r="R82"/>
    </row>
    <row r="83" spans="1:18" ht="20.25" customHeight="1" x14ac:dyDescent="0.2">
      <c r="A83" s="107" t="s">
        <v>73</v>
      </c>
      <c r="C83" s="469" t="s">
        <v>292</v>
      </c>
      <c r="D83" s="470"/>
      <c r="E83" s="470"/>
      <c r="F83" s="470"/>
      <c r="G83" s="470"/>
      <c r="H83" s="470"/>
      <c r="I83" s="470"/>
      <c r="J83" s="470"/>
      <c r="K83" s="470"/>
      <c r="L83" s="470"/>
      <c r="M83" s="470"/>
      <c r="N83" s="470"/>
      <c r="O83" s="346"/>
      <c r="P83" s="95"/>
      <c r="Q83"/>
      <c r="R83"/>
    </row>
    <row r="84" spans="1:18" ht="21" customHeight="1" x14ac:dyDescent="0.2">
      <c r="B84" s="93"/>
      <c r="C84" s="581" t="s">
        <v>17</v>
      </c>
      <c r="D84" s="470"/>
      <c r="E84" s="470"/>
      <c r="F84" s="470"/>
      <c r="G84" s="470"/>
      <c r="H84" s="470"/>
      <c r="I84" s="470"/>
      <c r="J84" s="470"/>
      <c r="K84" s="470"/>
      <c r="L84" s="470"/>
      <c r="M84" s="470"/>
      <c r="N84" s="470"/>
      <c r="O84" s="345"/>
      <c r="P84" s="346"/>
      <c r="Q84"/>
      <c r="R84"/>
    </row>
    <row r="85" spans="1:18" ht="18" x14ac:dyDescent="0.2">
      <c r="P85" s="345"/>
      <c r="Q85" s="173"/>
      <c r="R85" s="173"/>
    </row>
    <row r="86" spans="1:18" ht="18" x14ac:dyDescent="0.2">
      <c r="P86" s="105"/>
      <c r="Q86" s="173"/>
      <c r="R86" s="173"/>
    </row>
    <row r="87" spans="1:18" x14ac:dyDescent="0.2">
      <c r="P87" s="105"/>
      <c r="Q87" s="105"/>
      <c r="R87" s="105"/>
    </row>
    <row r="88" spans="1:18" x14ac:dyDescent="0.2">
      <c r="Q88" s="105"/>
      <c r="R88" s="105"/>
    </row>
    <row r="89" spans="1:18" x14ac:dyDescent="0.2">
      <c r="Q89" s="105"/>
      <c r="R89" s="105"/>
    </row>
    <row r="90" spans="1:18" x14ac:dyDescent="0.2">
      <c r="Q90" s="105"/>
      <c r="R90" s="105"/>
    </row>
  </sheetData>
  <sheetProtection algorithmName="SHA-512" hashValue="kdBTg6sgt7KaFMMWKPvnAxFATHPqIrbREjI35rCpPc4qMbWCvCgZz2b5/YZqRxUo1RWrfxe3biG+yc5JkxjDKw==" saltValue="Igtn7zNjY9WTiKo02s/Ugw==" spinCount="100000" sheet="1" objects="1" scenarios="1"/>
  <mergeCells count="83">
    <mergeCell ref="C84:N84"/>
    <mergeCell ref="D69:N69"/>
    <mergeCell ref="C70:N70"/>
    <mergeCell ref="C71:N71"/>
    <mergeCell ref="D82:N82"/>
    <mergeCell ref="C83:N83"/>
    <mergeCell ref="D76:N76"/>
    <mergeCell ref="D37:N37"/>
    <mergeCell ref="D49:N49"/>
    <mergeCell ref="C50:N50"/>
    <mergeCell ref="C51:N51"/>
    <mergeCell ref="D60:N60"/>
    <mergeCell ref="D41:N41"/>
    <mergeCell ref="D47:N47"/>
    <mergeCell ref="D48:N48"/>
    <mergeCell ref="D42:N42"/>
    <mergeCell ref="D40:N40"/>
    <mergeCell ref="D58:N58"/>
    <mergeCell ref="D56:N56"/>
    <mergeCell ref="D57:N57"/>
    <mergeCell ref="C28:N28"/>
    <mergeCell ref="D33:N33"/>
    <mergeCell ref="C34:N34"/>
    <mergeCell ref="C35:N35"/>
    <mergeCell ref="D31:N31"/>
    <mergeCell ref="D15:N15"/>
    <mergeCell ref="D16:N16"/>
    <mergeCell ref="D17:N17"/>
    <mergeCell ref="D22:N22"/>
    <mergeCell ref="C27:N27"/>
    <mergeCell ref="C2:G2"/>
    <mergeCell ref="D14:N14"/>
    <mergeCell ref="D8:N8"/>
    <mergeCell ref="D9:N9"/>
    <mergeCell ref="D10:N10"/>
    <mergeCell ref="D11:N11"/>
    <mergeCell ref="D12:N12"/>
    <mergeCell ref="D13:N13"/>
    <mergeCell ref="E5:G5"/>
    <mergeCell ref="D65:N65"/>
    <mergeCell ref="D32:N32"/>
    <mergeCell ref="D36:N36"/>
    <mergeCell ref="D24:N24"/>
    <mergeCell ref="D25:N25"/>
    <mergeCell ref="D63:N63"/>
    <mergeCell ref="D55:N55"/>
    <mergeCell ref="D39:N39"/>
    <mergeCell ref="D30:N30"/>
    <mergeCell ref="D43:N43"/>
    <mergeCell ref="D44:N44"/>
    <mergeCell ref="D52:N52"/>
    <mergeCell ref="D64:N64"/>
    <mergeCell ref="D59:N59"/>
    <mergeCell ref="D53:N53"/>
    <mergeCell ref="D54:N54"/>
    <mergeCell ref="C61:N61"/>
    <mergeCell ref="C62:N62"/>
    <mergeCell ref="S1:U1"/>
    <mergeCell ref="T4:U4"/>
    <mergeCell ref="D18:N18"/>
    <mergeCell ref="K1:L1"/>
    <mergeCell ref="D19:N19"/>
    <mergeCell ref="C20:N20"/>
    <mergeCell ref="C21:N21"/>
    <mergeCell ref="D23:N23"/>
    <mergeCell ref="D45:N45"/>
    <mergeCell ref="D46:N46"/>
    <mergeCell ref="D29:N29"/>
    <mergeCell ref="D26:N26"/>
    <mergeCell ref="K2:L2"/>
    <mergeCell ref="C1:G1"/>
    <mergeCell ref="D66:N66"/>
    <mergeCell ref="D67:N67"/>
    <mergeCell ref="D81:N81"/>
    <mergeCell ref="D78:N78"/>
    <mergeCell ref="D77:N77"/>
    <mergeCell ref="D79:N79"/>
    <mergeCell ref="D68:N68"/>
    <mergeCell ref="D72:N72"/>
    <mergeCell ref="D73:N73"/>
    <mergeCell ref="D74:N74"/>
    <mergeCell ref="D75:N75"/>
    <mergeCell ref="D80:N80"/>
  </mergeCells>
  <conditionalFormatting sqref="M5">
    <cfRule type="containsText" dxfId="39" priority="4" operator="containsText" text="Fail">
      <formula>NOT(ISERROR(SEARCH("Fail",M5)))</formula>
    </cfRule>
  </conditionalFormatting>
  <conditionalFormatting sqref="P8:R19 P20 P22:R26 P29:R33 Q34:Q46 P36:P37 P39:P49 Q51:Q59 P52:P60 P63:P69 Q63:Q70 P72:P83 Q74:Q80">
    <cfRule type="containsText" dxfId="38" priority="1" operator="containsText" text="Fail">
      <formula>NOT(ISERROR(SEARCH("Fail",P8)))</formula>
    </cfRule>
  </conditionalFormatting>
  <conditionalFormatting sqref="Q85:R86">
    <cfRule type="containsText" dxfId="37" priority="6" operator="containsText" text="Fail">
      <formula>NOT(ISERROR(SEARCH("Fail",Q85)))</formula>
    </cfRule>
  </conditionalFormatting>
  <conditionalFormatting sqref="U1:U3 T4">
    <cfRule type="containsText" dxfId="36" priority="2" operator="containsText" text="Fail">
      <formula>NOT(ISERROR(SEARCH("Fail",T1)))</formula>
    </cfRule>
  </conditionalFormatting>
  <conditionalFormatting sqref="AE9">
    <cfRule type="containsText" dxfId="35" priority="5" operator="containsText" text="Fail">
      <formula>NOT(ISERROR(SEARCH("Fail",AE9)))</formula>
    </cfRule>
  </conditionalFormatting>
  <dataValidations count="4">
    <dataValidation type="whole" operator="greaterThan" allowBlank="1" showInputMessage="1" showErrorMessage="1" sqref="X9:X34" xr:uid="{4C7A3837-71EE-4F10-8B5E-0B18C94A3AB5}">
      <formula1>0</formula1>
    </dataValidation>
    <dataValidation type="date" operator="greaterThan" allowBlank="1" showInputMessage="1" showErrorMessage="1" sqref="W9:W34" xr:uid="{8E77596E-8B82-495C-A062-482ED0E075FB}">
      <formula1>36526</formula1>
    </dataValidation>
    <dataValidation type="list" showErrorMessage="1" errorTitle="Invalid Selection" error="Select either Yes, No, or N/A from the dropdown list. Click &quot;Cancel&quot; below, then update selection." sqref="O73:O82 O23:O26 O53:O60 O39:O49 O64:O69 O37 O30:O33 O9:O19" xr:uid="{7B9C7FB4-FE7C-4869-AF43-08335B6D9D01}">
      <formula1>"Yes,No,N/A"</formula1>
    </dataValidation>
    <dataValidation type="decimal" operator="greaterThanOrEqual" allowBlank="1" showInputMessage="1" showErrorMessage="1" errorTitle="Input Error" error="Insert the claimed amount with dollars and cents in $0.00 format. Click &quot;Cancel&quot; below and try again." sqref="Y9:Y34" xr:uid="{FE3296C6-8129-49C9-9D58-37A69CCDC6D6}">
      <formula1>0</formula1>
    </dataValidation>
  </dataValidations>
  <pageMargins left="0.7" right="0.7" top="1" bottom="0.75" header="0.3" footer="0.3"/>
  <pageSetup scale="70" fitToHeight="0" orientation="portrait" r:id="rId1"/>
  <headerFooter>
    <oddHeader>&amp;CConfidential QI Report
San Diego County Mental Health Plan
Behavioral Health Services
Fiscal Year 23-24</oddHeader>
    <oddFooter>&amp;LFY 23-24 Medical Record Review Report - Excel - Rev. 7-1-23</oddFooter>
  </headerFooter>
  <colBreaks count="1" manualBreakCount="1">
    <brk id="15" max="84"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D55746AC-95E2-4AC4-B9F7-B6A36E7C8A39}">
          <x14:formula1>
            <xm:f>Validations!$E$4:$E$15</xm:f>
          </x14:formula1>
          <xm:sqref>Z9:Z34</xm:sqref>
        </x14:dataValidation>
        <x14:dataValidation type="list" allowBlank="1" showInputMessage="1" showErrorMessage="1" xr:uid="{EC7FADB4-6DC9-414A-AB33-B7EE8E610090}">
          <x14:formula1>
            <xm:f>Validations!$D$4:$D$7</xm:f>
          </x14:formula1>
          <xm:sqref>AA9:AA34</xm:sqref>
        </x14:dataValidation>
        <x14:dataValidation type="list" allowBlank="1" showInputMessage="1" showErrorMessage="1" xr:uid="{6E244BF8-C270-4EE1-A2EC-4A6B3F5B2328}">
          <x14:formula1>
            <xm:f>Validations!$C$4:$C$54</xm:f>
          </x14:formula1>
          <xm:sqref>V9:V34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08AD8-83AB-4139-8AA9-67518441A60C}">
  <sheetPr codeName="Sheet16">
    <tabColor theme="3" tint="0.39997558519241921"/>
  </sheetPr>
  <dimension ref="A1:AE90"/>
  <sheetViews>
    <sheetView showGridLines="0" view="pageBreakPreview" zoomScale="92" zoomScaleNormal="80" zoomScaleSheetLayoutView="92" workbookViewId="0">
      <selection activeCell="D12" sqref="D12:N12"/>
    </sheetView>
  </sheetViews>
  <sheetFormatPr defaultColWidth="9.5703125" defaultRowHeight="15" x14ac:dyDescent="0.2"/>
  <cols>
    <col min="1" max="1" width="7.7109375" style="106" customWidth="1"/>
    <col min="2" max="2" width="8.42578125" style="4" customWidth="1"/>
    <col min="3" max="3" width="8.42578125" style="5" customWidth="1"/>
    <col min="4" max="4" width="2.5703125" style="1" customWidth="1"/>
    <col min="5" max="5" width="7.140625" style="1" customWidth="1"/>
    <col min="6" max="6" width="8.5703125" style="1" customWidth="1"/>
    <col min="7" max="7" width="6.42578125" style="1" customWidth="1"/>
    <col min="8" max="8" width="4.7109375" style="1" customWidth="1"/>
    <col min="9" max="9" width="27.28515625" style="1" customWidth="1"/>
    <col min="10" max="10" width="2.5703125" style="1" customWidth="1"/>
    <col min="11" max="11" width="18.140625" style="1" customWidth="1"/>
    <col min="12" max="12" width="3.42578125" style="1" customWidth="1"/>
    <col min="13" max="13" width="12.140625" style="1" customWidth="1"/>
    <col min="14" max="14" width="9.5703125" style="1" customWidth="1"/>
    <col min="15" max="15" width="13.28515625" style="1" customWidth="1"/>
    <col min="16" max="16" width="8.7109375" style="1" hidden="1" customWidth="1"/>
    <col min="17" max="18" width="2.42578125" style="1" customWidth="1"/>
    <col min="19" max="19" width="11.7109375" customWidth="1"/>
    <col min="20" max="20" width="10.7109375" customWidth="1"/>
    <col min="21" max="21" width="13.85546875" style="1" customWidth="1"/>
    <col min="22" max="22" width="23.42578125" style="1" customWidth="1"/>
    <col min="23" max="23" width="12.42578125" style="1" customWidth="1"/>
    <col min="24" max="25" width="9.5703125" style="1"/>
    <col min="26" max="26" width="12.140625" style="1" customWidth="1"/>
    <col min="27" max="27" width="13.7109375" style="1" customWidth="1"/>
    <col min="28" max="28" width="23.140625" style="1" customWidth="1"/>
    <col min="29" max="16384" width="9.5703125" style="1"/>
  </cols>
  <sheetData>
    <row r="1" spans="1:31" s="5" customFormat="1" ht="15.75" x14ac:dyDescent="0.25">
      <c r="A1" s="106"/>
      <c r="B1" s="4"/>
      <c r="C1" s="560" t="s">
        <v>338</v>
      </c>
      <c r="D1" s="561"/>
      <c r="E1" s="561"/>
      <c r="F1" s="561"/>
      <c r="G1" s="562"/>
      <c r="H1"/>
      <c r="I1" s="86" t="s">
        <v>38</v>
      </c>
      <c r="J1" s="153"/>
      <c r="K1" s="560" t="s">
        <v>12</v>
      </c>
      <c r="L1" s="562"/>
      <c r="N1"/>
      <c r="O1"/>
      <c r="P1"/>
      <c r="Q1"/>
      <c r="R1"/>
      <c r="S1" s="560" t="s">
        <v>260</v>
      </c>
      <c r="T1" s="561"/>
      <c r="U1" s="562"/>
      <c r="V1"/>
      <c r="W1"/>
      <c r="X1"/>
      <c r="Y1"/>
      <c r="Z1"/>
      <c r="AA1"/>
      <c r="AB1"/>
    </row>
    <row r="2" spans="1:31" s="5" customFormat="1" ht="15" customHeight="1" x14ac:dyDescent="0.2">
      <c r="A2" s="106"/>
      <c r="B2" s="4"/>
      <c r="C2" s="583">
        <f>'Chart Review Info'!D3</f>
        <v>0</v>
      </c>
      <c r="D2" s="584"/>
      <c r="E2" s="584"/>
      <c r="F2" s="584"/>
      <c r="G2" s="585"/>
      <c r="H2"/>
      <c r="I2" s="150">
        <f>'Chart Review Info'!D4</f>
        <v>0</v>
      </c>
      <c r="J2" s="153"/>
      <c r="K2" s="592">
        <f>'Chart Review Info'!F27</f>
        <v>0</v>
      </c>
      <c r="L2" s="591"/>
      <c r="N2"/>
      <c r="O2"/>
      <c r="P2"/>
      <c r="Q2"/>
      <c r="R2"/>
      <c r="S2" s="55">
        <f>'Chart Review Info'!G4</f>
        <v>0</v>
      </c>
      <c r="T2" s="82" t="s">
        <v>261</v>
      </c>
      <c r="U2" s="83">
        <f>'Chart Review Info'!G5</f>
        <v>0</v>
      </c>
      <c r="V2"/>
      <c r="W2"/>
      <c r="X2"/>
      <c r="Y2"/>
      <c r="Z2"/>
      <c r="AA2"/>
      <c r="AB2"/>
    </row>
    <row r="3" spans="1:31" s="5" customFormat="1" x14ac:dyDescent="0.2">
      <c r="A3" s="106"/>
      <c r="B3" s="4"/>
      <c r="C3" s="84"/>
      <c r="H3"/>
      <c r="J3" s="98"/>
      <c r="V3"/>
      <c r="W3"/>
      <c r="X3"/>
      <c r="Y3"/>
      <c r="Z3"/>
      <c r="AA3"/>
      <c r="AB3"/>
    </row>
    <row r="4" spans="1:31" s="5" customFormat="1" ht="15.75" x14ac:dyDescent="0.25">
      <c r="A4" s="106"/>
      <c r="B4" s="4"/>
      <c r="C4" s="85" t="s">
        <v>202</v>
      </c>
      <c r="E4" s="85" t="s">
        <v>86</v>
      </c>
      <c r="F4" s="86"/>
      <c r="G4" s="85"/>
      <c r="H4"/>
      <c r="I4" s="151" t="s">
        <v>350</v>
      </c>
      <c r="J4" s="98"/>
      <c r="K4" s="87" t="s">
        <v>260</v>
      </c>
      <c r="L4" s="88"/>
      <c r="O4" s="86" t="s">
        <v>294</v>
      </c>
      <c r="P4"/>
      <c r="Q4"/>
      <c r="R4"/>
      <c r="S4" s="85" t="s">
        <v>12</v>
      </c>
      <c r="T4" s="563">
        <f>Prog_14</f>
        <v>0</v>
      </c>
      <c r="U4" s="564"/>
      <c r="V4"/>
      <c r="W4"/>
      <c r="X4"/>
      <c r="Y4"/>
      <c r="Z4"/>
      <c r="AA4"/>
      <c r="AB4"/>
    </row>
    <row r="5" spans="1:31" s="5" customFormat="1" x14ac:dyDescent="0.2">
      <c r="A5" s="106"/>
      <c r="B5" s="4"/>
      <c r="C5" s="54">
        <v>14</v>
      </c>
      <c r="E5" s="589" t="str">
        <f>'Chart Review Info'!C27</f>
        <v>N/A</v>
      </c>
      <c r="F5" s="590"/>
      <c r="G5" s="591"/>
      <c r="H5"/>
      <c r="I5" s="152">
        <f>Consum_14</f>
        <v>0</v>
      </c>
      <c r="J5" s="98"/>
      <c r="K5" s="293">
        <f>'Chart Review Info'!G4</f>
        <v>0</v>
      </c>
      <c r="L5" s="102" t="s">
        <v>261</v>
      </c>
      <c r="M5" s="293">
        <f>'Chart Review Info'!G5</f>
        <v>0</v>
      </c>
      <c r="O5" s="54">
        <f>'Chart Review Info'!G27</f>
        <v>0</v>
      </c>
      <c r="P5"/>
      <c r="Q5"/>
      <c r="R5"/>
      <c r="S5"/>
      <c r="T5"/>
      <c r="V5"/>
      <c r="W5"/>
      <c r="X5"/>
      <c r="Y5" s="6" t="s">
        <v>514</v>
      </c>
      <c r="Z5"/>
      <c r="AA5"/>
      <c r="AB5"/>
    </row>
    <row r="6" spans="1:31" x14ac:dyDescent="0.2">
      <c r="C6" s="154"/>
      <c r="D6" s="158"/>
      <c r="E6" s="155"/>
      <c r="F6" s="155"/>
      <c r="G6" s="155"/>
      <c r="H6" s="155"/>
      <c r="I6" s="155"/>
      <c r="J6" s="155"/>
      <c r="K6" s="155"/>
      <c r="L6" s="155"/>
      <c r="M6" s="155"/>
      <c r="N6" s="155"/>
      <c r="O6" s="155"/>
      <c r="P6" s="155"/>
      <c r="Q6" s="155"/>
      <c r="R6" s="155"/>
      <c r="T6" s="1"/>
      <c r="W6" s="51"/>
      <c r="Y6" s="329">
        <f>SUM(Y9:Y16)</f>
        <v>0</v>
      </c>
      <c r="AA6" s="13"/>
      <c r="AB6" s="13"/>
    </row>
    <row r="7" spans="1:31" ht="23.25" x14ac:dyDescent="0.25">
      <c r="C7" s="89" t="s">
        <v>262</v>
      </c>
      <c r="D7" s="159"/>
      <c r="E7" s="90"/>
      <c r="F7" s="90"/>
      <c r="G7" s="90"/>
      <c r="H7" s="90"/>
      <c r="I7" s="90"/>
      <c r="J7" s="90"/>
      <c r="K7" s="90"/>
      <c r="L7" s="90"/>
      <c r="M7" s="90"/>
      <c r="N7" s="90"/>
      <c r="O7" s="90"/>
      <c r="P7" s="90"/>
      <c r="S7" s="20"/>
      <c r="T7" s="21"/>
      <c r="U7" s="21"/>
      <c r="V7" s="21"/>
      <c r="W7" s="21"/>
      <c r="X7" s="160" t="s">
        <v>263</v>
      </c>
      <c r="Y7" s="160"/>
      <c r="Z7" s="160"/>
      <c r="AA7" s="22"/>
      <c r="AB7" s="23"/>
    </row>
    <row r="8" spans="1:31" ht="27" customHeight="1" x14ac:dyDescent="0.25">
      <c r="C8" s="91" t="s">
        <v>264</v>
      </c>
      <c r="D8" s="588" t="s">
        <v>68</v>
      </c>
      <c r="E8" s="574"/>
      <c r="F8" s="574"/>
      <c r="G8" s="574"/>
      <c r="H8" s="574"/>
      <c r="I8" s="574"/>
      <c r="J8" s="574"/>
      <c r="K8" s="574"/>
      <c r="L8" s="574"/>
      <c r="M8" s="574"/>
      <c r="N8" s="574"/>
      <c r="O8" s="92" t="s">
        <v>265</v>
      </c>
      <c r="P8" s="92" t="s">
        <v>266</v>
      </c>
      <c r="Q8" s="359"/>
      <c r="R8" s="351"/>
      <c r="S8" s="7" t="s">
        <v>449</v>
      </c>
      <c r="T8" s="9" t="s">
        <v>87</v>
      </c>
      <c r="U8" s="7" t="s">
        <v>88</v>
      </c>
      <c r="V8" s="7" t="s">
        <v>89</v>
      </c>
      <c r="W8" s="7" t="s">
        <v>90</v>
      </c>
      <c r="X8" s="7" t="s">
        <v>644</v>
      </c>
      <c r="Y8" s="8" t="s">
        <v>201</v>
      </c>
      <c r="Z8" s="116" t="s">
        <v>91</v>
      </c>
      <c r="AA8" s="117" t="s">
        <v>95</v>
      </c>
      <c r="AB8" s="117" t="s">
        <v>92</v>
      </c>
    </row>
    <row r="9" spans="1:31" ht="60" customHeight="1" x14ac:dyDescent="0.2">
      <c r="A9" s="212" t="s">
        <v>73</v>
      </c>
      <c r="B9" s="93"/>
      <c r="C9" s="94" t="s">
        <v>204</v>
      </c>
      <c r="D9" s="567" t="s">
        <v>658</v>
      </c>
      <c r="E9" s="470"/>
      <c r="F9" s="470"/>
      <c r="G9" s="470"/>
      <c r="H9" s="470"/>
      <c r="I9" s="470"/>
      <c r="J9" s="470"/>
      <c r="K9" s="470"/>
      <c r="L9" s="470"/>
      <c r="M9" s="470"/>
      <c r="N9" s="471"/>
      <c r="O9" s="71"/>
      <c r="P9" s="95" t="str">
        <f t="shared" ref="P9:P12" si="0">IF(O9="","",IF(O9="Yes","Pass",IF(O9="No","Fail","N/A")))</f>
        <v/>
      </c>
      <c r="Q9" s="173"/>
      <c r="R9" s="173"/>
      <c r="S9" s="124"/>
      <c r="T9" s="125"/>
      <c r="U9" s="125"/>
      <c r="V9" s="125"/>
      <c r="W9" s="126"/>
      <c r="X9" s="125"/>
      <c r="Y9" s="127"/>
      <c r="Z9" s="128"/>
      <c r="AA9" s="129"/>
      <c r="AB9" s="130"/>
      <c r="AC9" s="96"/>
      <c r="AD9" s="96"/>
      <c r="AE9" s="96"/>
    </row>
    <row r="10" spans="1:31" ht="87" customHeight="1" x14ac:dyDescent="0.2">
      <c r="A10" s="107">
        <v>1</v>
      </c>
      <c r="B10" s="93"/>
      <c r="C10" s="94" t="s">
        <v>205</v>
      </c>
      <c r="D10" s="567" t="s">
        <v>528</v>
      </c>
      <c r="E10" s="586"/>
      <c r="F10" s="586"/>
      <c r="G10" s="586"/>
      <c r="H10" s="586"/>
      <c r="I10" s="586"/>
      <c r="J10" s="586"/>
      <c r="K10" s="586"/>
      <c r="L10" s="586"/>
      <c r="M10" s="586"/>
      <c r="N10" s="587"/>
      <c r="O10" s="71"/>
      <c r="P10" s="95" t="str">
        <f t="shared" si="0"/>
        <v/>
      </c>
      <c r="Q10" s="173"/>
      <c r="R10" s="173"/>
      <c r="S10" s="124"/>
      <c r="T10" s="124"/>
      <c r="U10" s="124"/>
      <c r="V10" s="125"/>
      <c r="W10" s="131"/>
      <c r="X10" s="124"/>
      <c r="Y10" s="127"/>
      <c r="Z10" s="128"/>
      <c r="AA10" s="129"/>
      <c r="AB10" s="129"/>
    </row>
    <row r="11" spans="1:31" ht="50.25" customHeight="1" x14ac:dyDescent="0.2">
      <c r="A11" s="107" t="s">
        <v>70</v>
      </c>
      <c r="B11" s="93"/>
      <c r="C11" s="94" t="s">
        <v>206</v>
      </c>
      <c r="D11" s="567" t="s">
        <v>529</v>
      </c>
      <c r="E11" s="586"/>
      <c r="F11" s="586"/>
      <c r="G11" s="586"/>
      <c r="H11" s="586"/>
      <c r="I11" s="586"/>
      <c r="J11" s="586"/>
      <c r="K11" s="586"/>
      <c r="L11" s="586"/>
      <c r="M11" s="586"/>
      <c r="N11" s="587"/>
      <c r="O11" s="71"/>
      <c r="P11" s="95" t="str">
        <f t="shared" si="0"/>
        <v/>
      </c>
      <c r="Q11" s="173"/>
      <c r="R11" s="173"/>
      <c r="S11" s="124"/>
      <c r="T11" s="124"/>
      <c r="U11" s="124"/>
      <c r="V11" s="125"/>
      <c r="W11" s="131"/>
      <c r="X11" s="124"/>
      <c r="Y11" s="127"/>
      <c r="Z11" s="128"/>
      <c r="AA11" s="129"/>
      <c r="AB11" s="129"/>
    </row>
    <row r="12" spans="1:31" ht="33.75" customHeight="1" x14ac:dyDescent="0.2">
      <c r="A12" s="106">
        <v>1</v>
      </c>
      <c r="C12" s="94" t="s">
        <v>207</v>
      </c>
      <c r="D12" s="567" t="s">
        <v>659</v>
      </c>
      <c r="E12" s="586"/>
      <c r="F12" s="586"/>
      <c r="G12" s="586"/>
      <c r="H12" s="586"/>
      <c r="I12" s="586"/>
      <c r="J12" s="586"/>
      <c r="K12" s="586"/>
      <c r="L12" s="586"/>
      <c r="M12" s="586"/>
      <c r="N12" s="587"/>
      <c r="O12" s="71"/>
      <c r="P12" s="95" t="str">
        <f t="shared" si="0"/>
        <v/>
      </c>
      <c r="Q12" s="173"/>
      <c r="R12" s="173"/>
      <c r="S12" s="124"/>
      <c r="T12" s="124"/>
      <c r="U12" s="124"/>
      <c r="V12" s="125"/>
      <c r="W12" s="131"/>
      <c r="X12" s="124"/>
      <c r="Y12" s="127"/>
      <c r="Z12" s="128"/>
      <c r="AA12" s="129"/>
      <c r="AB12" s="129"/>
    </row>
    <row r="13" spans="1:31" ht="36" customHeight="1" x14ac:dyDescent="0.2">
      <c r="A13" s="107">
        <v>1</v>
      </c>
      <c r="B13" s="93"/>
      <c r="C13" s="97" t="s">
        <v>208</v>
      </c>
      <c r="D13" s="567" t="s">
        <v>656</v>
      </c>
      <c r="E13" s="470"/>
      <c r="F13" s="470"/>
      <c r="G13" s="470"/>
      <c r="H13" s="470"/>
      <c r="I13" s="470"/>
      <c r="J13" s="470"/>
      <c r="K13" s="470"/>
      <c r="L13" s="470"/>
      <c r="M13" s="470"/>
      <c r="N13" s="471"/>
      <c r="O13" s="71"/>
      <c r="P13" s="95" t="str">
        <f t="shared" ref="P13:P19" si="1">IF(O13="","",IF(O13="Yes","Pass",IF(O13="No","Fail","N/A")))</f>
        <v/>
      </c>
      <c r="Q13" s="173"/>
      <c r="R13" s="173"/>
      <c r="S13" s="124"/>
      <c r="T13" s="124"/>
      <c r="U13" s="124"/>
      <c r="V13" s="125"/>
      <c r="W13" s="131"/>
      <c r="X13" s="124"/>
      <c r="Y13" s="127"/>
      <c r="Z13" s="128"/>
      <c r="AA13" s="129"/>
      <c r="AB13" s="129"/>
    </row>
    <row r="14" spans="1:31" ht="46.5" customHeight="1" x14ac:dyDescent="0.2">
      <c r="A14" s="107" t="s">
        <v>70</v>
      </c>
      <c r="B14" s="93"/>
      <c r="C14" s="97" t="s">
        <v>209</v>
      </c>
      <c r="D14" s="567" t="s">
        <v>530</v>
      </c>
      <c r="E14" s="586"/>
      <c r="F14" s="586"/>
      <c r="G14" s="586"/>
      <c r="H14" s="586"/>
      <c r="I14" s="586"/>
      <c r="J14" s="586"/>
      <c r="K14" s="586"/>
      <c r="L14" s="586"/>
      <c r="M14" s="586"/>
      <c r="N14" s="587"/>
      <c r="O14" s="71"/>
      <c r="P14" s="95" t="str">
        <f t="shared" si="1"/>
        <v/>
      </c>
      <c r="Q14" s="173"/>
      <c r="R14" s="173"/>
      <c r="S14" s="124"/>
      <c r="T14" s="124"/>
      <c r="U14" s="124"/>
      <c r="V14" s="125"/>
      <c r="W14" s="131"/>
      <c r="X14" s="124"/>
      <c r="Y14" s="127"/>
      <c r="Z14" s="128"/>
      <c r="AA14" s="129"/>
      <c r="AB14" s="129"/>
    </row>
    <row r="15" spans="1:31" ht="49.5" customHeight="1" x14ac:dyDescent="0.2">
      <c r="A15" s="107">
        <v>1</v>
      </c>
      <c r="B15" s="93"/>
      <c r="C15" s="94" t="s">
        <v>210</v>
      </c>
      <c r="D15" s="567" t="s">
        <v>531</v>
      </c>
      <c r="E15" s="586"/>
      <c r="F15" s="586"/>
      <c r="G15" s="586"/>
      <c r="H15" s="586"/>
      <c r="I15" s="586"/>
      <c r="J15" s="586"/>
      <c r="K15" s="586"/>
      <c r="L15" s="586"/>
      <c r="M15" s="586"/>
      <c r="N15" s="587"/>
      <c r="O15" s="71"/>
      <c r="P15" s="95" t="str">
        <f t="shared" si="1"/>
        <v/>
      </c>
      <c r="Q15" s="173"/>
      <c r="R15" s="173"/>
      <c r="S15" s="124"/>
      <c r="T15" s="124"/>
      <c r="U15" s="124"/>
      <c r="V15" s="125"/>
      <c r="W15" s="131"/>
      <c r="X15" s="124"/>
      <c r="Y15" s="127"/>
      <c r="Z15" s="128"/>
      <c r="AA15" s="129"/>
      <c r="AB15" s="129"/>
    </row>
    <row r="16" spans="1:31" ht="66.75" customHeight="1" x14ac:dyDescent="0.2">
      <c r="A16" s="106">
        <v>1</v>
      </c>
      <c r="C16" s="97" t="s">
        <v>211</v>
      </c>
      <c r="D16" s="567" t="s">
        <v>532</v>
      </c>
      <c r="E16" s="586"/>
      <c r="F16" s="586"/>
      <c r="G16" s="586"/>
      <c r="H16" s="586"/>
      <c r="I16" s="586"/>
      <c r="J16" s="586"/>
      <c r="K16" s="586"/>
      <c r="L16" s="586"/>
      <c r="M16" s="586"/>
      <c r="N16" s="587"/>
      <c r="O16" s="71"/>
      <c r="P16" s="95" t="str">
        <f t="shared" si="1"/>
        <v/>
      </c>
      <c r="Q16" s="173"/>
      <c r="R16" s="173"/>
      <c r="S16" s="124"/>
      <c r="T16" s="124"/>
      <c r="U16" s="124"/>
      <c r="V16" s="125"/>
      <c r="W16" s="131"/>
      <c r="X16" s="124"/>
      <c r="Y16" s="127"/>
      <c r="Z16" s="128"/>
      <c r="AA16" s="129"/>
      <c r="AB16" s="129"/>
    </row>
    <row r="17" spans="1:28" ht="39" customHeight="1" x14ac:dyDescent="0.2">
      <c r="A17" s="107" t="s">
        <v>70</v>
      </c>
      <c r="B17" s="93"/>
      <c r="C17" s="97" t="s">
        <v>212</v>
      </c>
      <c r="D17" s="567" t="s">
        <v>533</v>
      </c>
      <c r="E17" s="586"/>
      <c r="F17" s="586"/>
      <c r="G17" s="586"/>
      <c r="H17" s="586"/>
      <c r="I17" s="586"/>
      <c r="J17" s="586"/>
      <c r="K17" s="586"/>
      <c r="L17" s="586"/>
      <c r="M17" s="586"/>
      <c r="N17" s="587"/>
      <c r="O17" s="71"/>
      <c r="P17" s="95" t="str">
        <f t="shared" si="1"/>
        <v/>
      </c>
      <c r="Q17" s="173"/>
      <c r="R17" s="173"/>
      <c r="S17" s="124"/>
      <c r="T17" s="124"/>
      <c r="U17" s="124"/>
      <c r="V17" s="125"/>
      <c r="W17" s="131"/>
      <c r="X17" s="124"/>
      <c r="Y17" s="127"/>
      <c r="Z17" s="128"/>
      <c r="AA17" s="129"/>
      <c r="AB17" s="129"/>
    </row>
    <row r="18" spans="1:28" ht="83.25" customHeight="1" x14ac:dyDescent="0.2">
      <c r="A18" s="107" t="s">
        <v>70</v>
      </c>
      <c r="B18" s="93"/>
      <c r="C18" s="94" t="s">
        <v>657</v>
      </c>
      <c r="D18" s="567" t="s">
        <v>534</v>
      </c>
      <c r="E18" s="586"/>
      <c r="F18" s="586"/>
      <c r="G18" s="586"/>
      <c r="H18" s="586"/>
      <c r="I18" s="586"/>
      <c r="J18" s="586"/>
      <c r="K18" s="586"/>
      <c r="L18" s="586"/>
      <c r="M18" s="586"/>
      <c r="N18" s="587"/>
      <c r="O18" s="71"/>
      <c r="P18" s="95" t="str">
        <f t="shared" si="1"/>
        <v/>
      </c>
      <c r="Q18" s="173"/>
      <c r="R18" s="173"/>
      <c r="S18" s="124"/>
      <c r="T18" s="124"/>
      <c r="U18" s="124"/>
      <c r="V18" s="125"/>
      <c r="W18" s="131"/>
      <c r="X18" s="124"/>
      <c r="Y18" s="127"/>
      <c r="Z18" s="128"/>
      <c r="AA18" s="129"/>
      <c r="AB18" s="129"/>
    </row>
    <row r="19" spans="1:28" ht="47.25" customHeight="1" x14ac:dyDescent="0.2">
      <c r="A19" s="107" t="s">
        <v>81</v>
      </c>
      <c r="B19" s="93"/>
      <c r="C19" s="391" t="s">
        <v>213</v>
      </c>
      <c r="D19" s="571" t="s">
        <v>535</v>
      </c>
      <c r="E19" s="572"/>
      <c r="F19" s="572"/>
      <c r="G19" s="572"/>
      <c r="H19" s="572"/>
      <c r="I19" s="572"/>
      <c r="J19" s="572"/>
      <c r="K19" s="572"/>
      <c r="L19" s="572"/>
      <c r="M19" s="572"/>
      <c r="N19" s="572"/>
      <c r="O19" s="71"/>
      <c r="P19" s="95" t="str">
        <f t="shared" si="1"/>
        <v/>
      </c>
      <c r="Q19" s="173"/>
      <c r="R19" s="173"/>
      <c r="S19" s="124"/>
      <c r="T19" s="124"/>
      <c r="U19" s="124"/>
      <c r="V19" s="125"/>
      <c r="W19" s="131"/>
      <c r="X19" s="124"/>
      <c r="Y19" s="127"/>
      <c r="Z19" s="128"/>
      <c r="AA19" s="129"/>
      <c r="AB19" s="129"/>
    </row>
    <row r="20" spans="1:28" ht="22.5" customHeight="1" x14ac:dyDescent="0.2">
      <c r="A20" s="106">
        <v>1</v>
      </c>
      <c r="B20" s="93"/>
      <c r="C20" s="575" t="s">
        <v>267</v>
      </c>
      <c r="D20" s="470"/>
      <c r="E20" s="470"/>
      <c r="F20" s="470"/>
      <c r="G20" s="470"/>
      <c r="H20" s="470"/>
      <c r="I20" s="470"/>
      <c r="J20" s="470"/>
      <c r="K20" s="470"/>
      <c r="L20" s="470"/>
      <c r="M20" s="470"/>
      <c r="N20" s="470"/>
      <c r="O20"/>
      <c r="P20" s="392"/>
      <c r="Q20" s="174"/>
      <c r="R20" s="174"/>
      <c r="S20" s="124"/>
      <c r="T20" s="124"/>
      <c r="U20" s="124"/>
      <c r="V20" s="125"/>
      <c r="W20" s="131"/>
      <c r="X20" s="124"/>
      <c r="Y20" s="127"/>
      <c r="Z20" s="128"/>
      <c r="AA20" s="129"/>
      <c r="AB20" s="129"/>
    </row>
    <row r="21" spans="1:28" ht="30.75" customHeight="1" x14ac:dyDescent="0.2">
      <c r="A21" s="107" t="s">
        <v>73</v>
      </c>
      <c r="C21" s="581" t="s">
        <v>17</v>
      </c>
      <c r="D21" s="470"/>
      <c r="E21" s="470"/>
      <c r="F21" s="470"/>
      <c r="G21" s="470"/>
      <c r="H21" s="470"/>
      <c r="I21" s="470"/>
      <c r="J21" s="470"/>
      <c r="K21" s="470"/>
      <c r="L21" s="470"/>
      <c r="M21" s="470"/>
      <c r="N21" s="471"/>
      <c r="O21" s="345"/>
      <c r="P21" s="343"/>
      <c r="Q21" s="172"/>
      <c r="R21" s="172"/>
      <c r="S21" s="124"/>
      <c r="T21" s="124"/>
      <c r="U21" s="124"/>
      <c r="V21" s="125"/>
      <c r="W21" s="131"/>
      <c r="X21" s="124"/>
      <c r="Y21" s="132"/>
      <c r="Z21" s="128"/>
      <c r="AA21" s="129"/>
      <c r="AB21" s="129"/>
    </row>
    <row r="22" spans="1:28" ht="18" customHeight="1" x14ac:dyDescent="0.25">
      <c r="C22" s="100" t="s">
        <v>264</v>
      </c>
      <c r="D22" s="573" t="s">
        <v>71</v>
      </c>
      <c r="E22" s="574"/>
      <c r="F22" s="574"/>
      <c r="G22" s="574"/>
      <c r="H22" s="574"/>
      <c r="I22" s="574"/>
      <c r="J22" s="574"/>
      <c r="K22" s="574"/>
      <c r="L22" s="574"/>
      <c r="M22" s="574"/>
      <c r="N22" s="440"/>
      <c r="O22" s="101" t="s">
        <v>265</v>
      </c>
      <c r="P22" s="101" t="s">
        <v>266</v>
      </c>
      <c r="Q22" s="359"/>
      <c r="R22" s="175"/>
      <c r="S22" s="124"/>
      <c r="T22" s="124"/>
      <c r="U22" s="124"/>
      <c r="V22" s="125"/>
      <c r="W22" s="131"/>
      <c r="X22" s="124"/>
      <c r="Y22" s="127"/>
      <c r="Z22" s="128"/>
      <c r="AA22" s="129"/>
      <c r="AB22" s="129"/>
    </row>
    <row r="23" spans="1:28" ht="18" customHeight="1" x14ac:dyDescent="0.2">
      <c r="A23" s="106">
        <v>1</v>
      </c>
      <c r="C23" s="102" t="s">
        <v>215</v>
      </c>
      <c r="D23" s="567" t="s">
        <v>268</v>
      </c>
      <c r="E23" s="470"/>
      <c r="F23" s="470"/>
      <c r="G23" s="470"/>
      <c r="H23" s="470"/>
      <c r="I23" s="470"/>
      <c r="J23" s="470"/>
      <c r="K23" s="470"/>
      <c r="L23" s="470"/>
      <c r="M23" s="470"/>
      <c r="N23" s="471"/>
      <c r="O23" s="71"/>
      <c r="P23" s="95" t="str">
        <f>IF(O23="","",IF(O23="Yes","Pass",IF(O23="No","Fail","N/A")))</f>
        <v/>
      </c>
      <c r="Q23" s="173"/>
      <c r="R23" s="173"/>
      <c r="S23" s="124"/>
      <c r="T23" s="124"/>
      <c r="U23" s="124"/>
      <c r="V23" s="125"/>
      <c r="W23" s="131"/>
      <c r="X23" s="124"/>
      <c r="Y23" s="127"/>
      <c r="Z23" s="128"/>
      <c r="AA23" s="129"/>
      <c r="AB23" s="129"/>
    </row>
    <row r="24" spans="1:28" ht="45" customHeight="1" x14ac:dyDescent="0.2">
      <c r="A24" s="107" t="s">
        <v>69</v>
      </c>
      <c r="C24" s="97" t="s">
        <v>216</v>
      </c>
      <c r="D24" s="567" t="s">
        <v>269</v>
      </c>
      <c r="E24" s="470"/>
      <c r="F24" s="470"/>
      <c r="G24" s="470"/>
      <c r="H24" s="470"/>
      <c r="I24" s="470"/>
      <c r="J24" s="470"/>
      <c r="K24" s="470"/>
      <c r="L24" s="470"/>
      <c r="M24" s="470"/>
      <c r="N24" s="471"/>
      <c r="O24" s="71"/>
      <c r="P24" s="95" t="str">
        <f>IF(O24="","",IF(O24="Yes","Pass",IF(O24="No","Fail","N/A")))</f>
        <v/>
      </c>
      <c r="Q24" s="173"/>
      <c r="R24" s="173"/>
      <c r="S24" s="124"/>
      <c r="T24" s="124"/>
      <c r="U24" s="124"/>
      <c r="V24" s="125"/>
      <c r="W24" s="131"/>
      <c r="X24" s="124"/>
      <c r="Y24" s="127"/>
      <c r="Z24" s="128"/>
      <c r="AA24" s="129"/>
      <c r="AB24" s="129"/>
    </row>
    <row r="25" spans="1:28" ht="45" customHeight="1" x14ac:dyDescent="0.2">
      <c r="A25" s="107" t="s">
        <v>69</v>
      </c>
      <c r="B25" s="93"/>
      <c r="C25" s="97" t="s">
        <v>217</v>
      </c>
      <c r="D25" s="567" t="s">
        <v>270</v>
      </c>
      <c r="E25" s="470"/>
      <c r="F25" s="470"/>
      <c r="G25" s="470"/>
      <c r="H25" s="470"/>
      <c r="I25" s="470"/>
      <c r="J25" s="470"/>
      <c r="K25" s="470"/>
      <c r="L25" s="470"/>
      <c r="M25" s="470"/>
      <c r="N25" s="471"/>
      <c r="O25" s="71"/>
      <c r="P25" s="95" t="str">
        <f>IF(O25="","",IF(O25="Yes","Pass",IF(O25="No","Fail","N/A")))</f>
        <v/>
      </c>
      <c r="Q25" s="173"/>
      <c r="R25" s="173"/>
      <c r="S25" s="124"/>
      <c r="T25" s="124"/>
      <c r="U25" s="124"/>
      <c r="V25" s="125"/>
      <c r="W25" s="131"/>
      <c r="X25" s="124"/>
      <c r="Y25" s="127"/>
      <c r="Z25" s="128"/>
      <c r="AA25" s="129"/>
      <c r="AB25" s="129"/>
    </row>
    <row r="26" spans="1:28" ht="51.75" customHeight="1" x14ac:dyDescent="0.2">
      <c r="A26" s="107" t="s">
        <v>69</v>
      </c>
      <c r="B26" s="93"/>
      <c r="C26" s="97" t="s">
        <v>218</v>
      </c>
      <c r="D26" s="567" t="s">
        <v>271</v>
      </c>
      <c r="E26" s="470"/>
      <c r="F26" s="470"/>
      <c r="G26" s="470"/>
      <c r="H26" s="470"/>
      <c r="I26" s="470"/>
      <c r="J26" s="470"/>
      <c r="K26" s="470"/>
      <c r="L26" s="470"/>
      <c r="M26" s="470"/>
      <c r="N26" s="470"/>
      <c r="O26" s="71"/>
      <c r="P26" s="95" t="str">
        <f>IF(O26="","",IF(O26="Yes","Pass",IF(O26="No","Fail","N/A")))</f>
        <v/>
      </c>
      <c r="Q26" s="173"/>
      <c r="R26" s="173"/>
      <c r="S26" s="124"/>
      <c r="T26" s="124"/>
      <c r="U26" s="124"/>
      <c r="V26" s="125"/>
      <c r="W26" s="131"/>
      <c r="X26" s="124"/>
      <c r="Y26" s="127"/>
      <c r="Z26" s="128"/>
      <c r="AA26" s="129"/>
      <c r="AB26" s="129"/>
    </row>
    <row r="27" spans="1:28" ht="22.5" customHeight="1" x14ac:dyDescent="0.2">
      <c r="A27" s="106">
        <v>1</v>
      </c>
      <c r="B27" s="93"/>
      <c r="C27" s="580" t="s">
        <v>272</v>
      </c>
      <c r="D27" s="470"/>
      <c r="E27" s="470"/>
      <c r="F27" s="470"/>
      <c r="G27" s="470"/>
      <c r="H27" s="470"/>
      <c r="I27" s="470"/>
      <c r="J27" s="470"/>
      <c r="K27" s="470"/>
      <c r="L27" s="470"/>
      <c r="M27" s="470"/>
      <c r="N27" s="470"/>
      <c r="O27" s="341"/>
      <c r="Q27" s="123"/>
      <c r="R27" s="123"/>
      <c r="S27" s="124"/>
      <c r="T27" s="124"/>
      <c r="U27" s="124"/>
      <c r="V27" s="125"/>
      <c r="W27" s="131"/>
      <c r="X27" s="124"/>
      <c r="Y27" s="127"/>
      <c r="Z27" s="128"/>
      <c r="AA27" s="129"/>
      <c r="AB27" s="129"/>
    </row>
    <row r="28" spans="1:28" ht="29.25" customHeight="1" x14ac:dyDescent="0.2">
      <c r="A28" s="107" t="s">
        <v>73</v>
      </c>
      <c r="C28" s="581" t="s">
        <v>17</v>
      </c>
      <c r="D28" s="470"/>
      <c r="E28" s="470"/>
      <c r="F28" s="470"/>
      <c r="G28" s="470"/>
      <c r="H28" s="470"/>
      <c r="I28" s="470"/>
      <c r="J28" s="470"/>
      <c r="K28" s="470"/>
      <c r="L28" s="470"/>
      <c r="M28" s="470"/>
      <c r="N28" s="470"/>
      <c r="O28" s="345"/>
      <c r="P28" s="340"/>
      <c r="Q28" s="123"/>
      <c r="R28" s="123"/>
      <c r="S28" s="124"/>
      <c r="T28" s="124"/>
      <c r="U28" s="124"/>
      <c r="V28" s="125"/>
      <c r="W28" s="131"/>
      <c r="X28" s="133"/>
      <c r="Y28" s="132"/>
      <c r="Z28" s="128"/>
      <c r="AA28" s="129"/>
      <c r="AB28" s="129"/>
    </row>
    <row r="29" spans="1:28" ht="24" customHeight="1" x14ac:dyDescent="0.25">
      <c r="C29" s="100" t="s">
        <v>264</v>
      </c>
      <c r="D29" s="573" t="s">
        <v>465</v>
      </c>
      <c r="E29" s="574"/>
      <c r="F29" s="574"/>
      <c r="G29" s="574"/>
      <c r="H29" s="574"/>
      <c r="I29" s="574"/>
      <c r="J29" s="574"/>
      <c r="K29" s="574"/>
      <c r="L29" s="574"/>
      <c r="M29" s="574"/>
      <c r="N29" s="574"/>
      <c r="O29" s="101" t="s">
        <v>265</v>
      </c>
      <c r="P29" s="101" t="s">
        <v>266</v>
      </c>
      <c r="Q29" s="359"/>
      <c r="R29" s="175"/>
      <c r="S29" s="124"/>
      <c r="T29" s="124"/>
      <c r="U29" s="124"/>
      <c r="V29" s="125"/>
      <c r="W29" s="131"/>
      <c r="X29" s="133"/>
      <c r="Y29" s="132"/>
      <c r="Z29" s="128"/>
      <c r="AA29" s="129"/>
      <c r="AB29" s="129"/>
    </row>
    <row r="30" spans="1:28" ht="66" customHeight="1" x14ac:dyDescent="0.2">
      <c r="A30" s="107" t="s">
        <v>69</v>
      </c>
      <c r="C30" s="102" t="s">
        <v>466</v>
      </c>
      <c r="D30" s="567" t="s">
        <v>467</v>
      </c>
      <c r="E30" s="572"/>
      <c r="F30" s="572"/>
      <c r="G30" s="572"/>
      <c r="H30" s="572"/>
      <c r="I30" s="572"/>
      <c r="J30" s="572"/>
      <c r="K30" s="572"/>
      <c r="L30" s="572"/>
      <c r="M30" s="572"/>
      <c r="N30" s="572"/>
      <c r="O30" s="71"/>
      <c r="P30" s="95" t="str">
        <f t="shared" ref="P30:P31" si="2">IF(O30="","",IF(O30="Yes","Pass",IF(O30="No","Fail","N/A")))</f>
        <v/>
      </c>
      <c r="Q30" s="173"/>
      <c r="R30" s="173"/>
      <c r="S30" s="124"/>
      <c r="T30" s="124"/>
      <c r="U30" s="124"/>
      <c r="V30" s="125"/>
      <c r="W30" s="131"/>
      <c r="X30" s="133"/>
      <c r="Y30" s="132"/>
      <c r="Z30" s="128"/>
      <c r="AA30" s="129"/>
      <c r="AB30" s="129"/>
    </row>
    <row r="31" spans="1:28" ht="33.75" customHeight="1" x14ac:dyDescent="0.2">
      <c r="A31" s="107" t="s">
        <v>73</v>
      </c>
      <c r="B31" s="93"/>
      <c r="C31" s="102" t="s">
        <v>471</v>
      </c>
      <c r="D31" s="579" t="s">
        <v>468</v>
      </c>
      <c r="E31" s="572"/>
      <c r="F31" s="572"/>
      <c r="G31" s="572"/>
      <c r="H31" s="572"/>
      <c r="I31" s="572"/>
      <c r="J31" s="572"/>
      <c r="K31" s="572"/>
      <c r="L31" s="572"/>
      <c r="M31" s="572"/>
      <c r="N31" s="572"/>
      <c r="O31" s="71"/>
      <c r="P31" s="95" t="str">
        <f t="shared" si="2"/>
        <v/>
      </c>
      <c r="Q31" s="173"/>
      <c r="R31" s="173"/>
      <c r="S31" s="124"/>
      <c r="T31" s="124"/>
      <c r="U31" s="124"/>
      <c r="V31" s="125"/>
      <c r="W31" s="131"/>
      <c r="X31" s="133"/>
      <c r="Y31" s="132"/>
      <c r="Z31" s="128"/>
      <c r="AA31" s="129"/>
      <c r="AB31" s="129"/>
    </row>
    <row r="32" spans="1:28" ht="45" customHeight="1" x14ac:dyDescent="0.2">
      <c r="A32" s="107" t="s">
        <v>69</v>
      </c>
      <c r="B32" s="93"/>
      <c r="C32" s="102" t="s">
        <v>472</v>
      </c>
      <c r="D32" s="579" t="s">
        <v>469</v>
      </c>
      <c r="E32" s="572"/>
      <c r="F32" s="572"/>
      <c r="G32" s="572"/>
      <c r="H32" s="572"/>
      <c r="I32" s="572"/>
      <c r="J32" s="572"/>
      <c r="K32" s="572"/>
      <c r="L32" s="572"/>
      <c r="M32" s="572"/>
      <c r="N32" s="572"/>
      <c r="O32" s="71"/>
      <c r="P32" s="95" t="str">
        <f>IF(O32="","",IF(O32="Yes","Pass",IF(O32="No","Fail","N/A")))</f>
        <v/>
      </c>
      <c r="Q32" s="173"/>
      <c r="R32" s="173"/>
      <c r="S32" s="124"/>
      <c r="T32" s="124"/>
      <c r="U32" s="124"/>
      <c r="V32" s="125"/>
      <c r="W32" s="131"/>
      <c r="X32" s="133"/>
      <c r="Y32" s="132"/>
      <c r="Z32" s="128"/>
      <c r="AA32" s="129"/>
      <c r="AB32" s="129"/>
    </row>
    <row r="33" spans="1:28" ht="30" customHeight="1" x14ac:dyDescent="0.2">
      <c r="A33" s="107" t="s">
        <v>70</v>
      </c>
      <c r="B33" s="93"/>
      <c r="C33" s="102" t="s">
        <v>473</v>
      </c>
      <c r="D33" s="579" t="s">
        <v>470</v>
      </c>
      <c r="E33" s="572"/>
      <c r="F33" s="572"/>
      <c r="G33" s="572"/>
      <c r="H33" s="572"/>
      <c r="I33" s="572"/>
      <c r="J33" s="572"/>
      <c r="K33" s="572"/>
      <c r="L33" s="572"/>
      <c r="M33" s="572"/>
      <c r="N33" s="572"/>
      <c r="O33" s="71"/>
      <c r="P33" s="95" t="str">
        <f>IF(O33="","",IF(O33="Yes","Pass",IF(O33="No","Fail","N/A")))</f>
        <v/>
      </c>
      <c r="Q33" s="173"/>
      <c r="R33" s="173"/>
      <c r="S33" s="124"/>
      <c r="T33" s="124"/>
      <c r="U33" s="124"/>
      <c r="V33" s="125"/>
      <c r="W33" s="131"/>
      <c r="X33" s="133"/>
      <c r="Y33" s="132"/>
      <c r="Z33" s="128"/>
      <c r="AA33" s="129"/>
      <c r="AB33" s="129"/>
    </row>
    <row r="34" spans="1:28" ht="24" customHeight="1" x14ac:dyDescent="0.2">
      <c r="A34" s="107" t="s">
        <v>69</v>
      </c>
      <c r="B34" s="93"/>
      <c r="C34" s="580" t="s">
        <v>545</v>
      </c>
      <c r="D34" s="470"/>
      <c r="E34" s="470"/>
      <c r="F34" s="470"/>
      <c r="G34" s="470"/>
      <c r="H34" s="470"/>
      <c r="I34" s="470"/>
      <c r="J34" s="470"/>
      <c r="K34" s="470"/>
      <c r="L34" s="470"/>
      <c r="M34" s="470"/>
      <c r="N34" s="470"/>
      <c r="O34" s="341"/>
      <c r="Q34" s="359"/>
      <c r="S34" s="124"/>
      <c r="T34" s="124"/>
      <c r="U34" s="124"/>
      <c r="V34" s="125"/>
      <c r="W34" s="131"/>
      <c r="X34" s="133"/>
      <c r="Y34" s="132"/>
      <c r="Z34" s="128"/>
      <c r="AA34" s="129"/>
      <c r="AB34" s="129"/>
    </row>
    <row r="35" spans="1:28" ht="27.75" customHeight="1" x14ac:dyDescent="0.2">
      <c r="A35" s="107" t="s">
        <v>69</v>
      </c>
      <c r="B35" s="93"/>
      <c r="C35" s="581" t="s">
        <v>17</v>
      </c>
      <c r="D35" s="470"/>
      <c r="E35" s="470"/>
      <c r="F35" s="470"/>
      <c r="G35" s="470"/>
      <c r="H35" s="470"/>
      <c r="I35" s="470"/>
      <c r="J35" s="470"/>
      <c r="K35" s="470"/>
      <c r="L35" s="470"/>
      <c r="M35" s="470"/>
      <c r="N35" s="470"/>
      <c r="O35" s="345"/>
      <c r="Q35" s="173"/>
      <c r="R35"/>
      <c r="U35"/>
      <c r="V35"/>
      <c r="W35"/>
      <c r="X35"/>
      <c r="Y35"/>
      <c r="Z35"/>
      <c r="AA35"/>
      <c r="AB35"/>
    </row>
    <row r="36" spans="1:28" ht="24.75" customHeight="1" x14ac:dyDescent="0.25">
      <c r="A36" s="107" t="s">
        <v>70</v>
      </c>
      <c r="B36" s="93"/>
      <c r="C36" s="100" t="s">
        <v>264</v>
      </c>
      <c r="D36" s="573" t="s">
        <v>72</v>
      </c>
      <c r="E36" s="574"/>
      <c r="F36" s="574"/>
      <c r="G36" s="574"/>
      <c r="H36" s="574"/>
      <c r="I36" s="574"/>
      <c r="J36" s="574"/>
      <c r="K36" s="574"/>
      <c r="L36" s="574"/>
      <c r="M36" s="574"/>
      <c r="N36" s="440"/>
      <c r="O36" s="101" t="s">
        <v>265</v>
      </c>
      <c r="P36" s="101" t="s">
        <v>266</v>
      </c>
      <c r="Q36" s="173"/>
      <c r="R36"/>
      <c r="U36"/>
      <c r="V36"/>
      <c r="W36"/>
      <c r="X36"/>
      <c r="Y36"/>
      <c r="Z36"/>
      <c r="AA36"/>
      <c r="AB36"/>
    </row>
    <row r="37" spans="1:28" ht="31.5" customHeight="1" x14ac:dyDescent="0.2">
      <c r="A37" s="107" t="s">
        <v>73</v>
      </c>
      <c r="B37" s="93"/>
      <c r="C37" s="103" t="s">
        <v>220</v>
      </c>
      <c r="D37" s="445" t="s">
        <v>544</v>
      </c>
      <c r="E37" s="568"/>
      <c r="F37" s="568"/>
      <c r="G37" s="568"/>
      <c r="H37" s="568"/>
      <c r="I37" s="568"/>
      <c r="J37" s="568"/>
      <c r="K37" s="568"/>
      <c r="L37" s="568"/>
      <c r="M37" s="568"/>
      <c r="N37" s="569"/>
      <c r="O37" s="71"/>
      <c r="P37" s="95" t="str">
        <f>IF(O37="","",IF(O37="Yes","Pass",IF(O37="No","Fail","N/A")))</f>
        <v/>
      </c>
      <c r="Q37" s="173"/>
      <c r="R37"/>
      <c r="U37"/>
      <c r="V37"/>
      <c r="W37"/>
      <c r="X37"/>
      <c r="Y37"/>
      <c r="Z37"/>
      <c r="AA37"/>
      <c r="AB37"/>
    </row>
    <row r="38" spans="1:28" ht="30" customHeight="1" x14ac:dyDescent="0.2">
      <c r="A38" s="107" t="s">
        <v>70</v>
      </c>
      <c r="B38" s="93"/>
      <c r="C38" s="185"/>
      <c r="D38" s="296" t="s">
        <v>351</v>
      </c>
      <c r="E38" s="297"/>
      <c r="F38" s="298"/>
      <c r="G38" s="299"/>
      <c r="I38" s="300" t="s">
        <v>352</v>
      </c>
      <c r="J38" s="299"/>
      <c r="K38" s="301" t="s">
        <v>353</v>
      </c>
      <c r="L38" s="191"/>
      <c r="M38" s="302"/>
      <c r="N38" s="303" t="e">
        <f>J38/G38</f>
        <v>#DIV/0!</v>
      </c>
      <c r="Q38" s="173"/>
      <c r="R38"/>
      <c r="U38"/>
      <c r="V38"/>
      <c r="W38"/>
      <c r="X38"/>
      <c r="Y38"/>
      <c r="Z38"/>
      <c r="AA38"/>
      <c r="AB38"/>
    </row>
    <row r="39" spans="1:28" ht="38.25" customHeight="1" x14ac:dyDescent="0.2">
      <c r="A39" s="107" t="s">
        <v>73</v>
      </c>
      <c r="B39" s="93"/>
      <c r="C39" s="97" t="s">
        <v>133</v>
      </c>
      <c r="D39" s="579" t="s">
        <v>645</v>
      </c>
      <c r="E39" s="572"/>
      <c r="F39" s="572"/>
      <c r="G39" s="572"/>
      <c r="H39" s="572"/>
      <c r="I39" s="572"/>
      <c r="J39" s="572"/>
      <c r="K39" s="572"/>
      <c r="L39" s="572"/>
      <c r="M39" s="572"/>
      <c r="N39" s="572"/>
      <c r="O39" s="71"/>
      <c r="P39" s="95" t="str">
        <f t="shared" ref="P39:P49" si="3">IF(O39="","",IF(O39="Yes","Pass",IF(O39="No","Fail","N/A")))</f>
        <v/>
      </c>
      <c r="Q39" s="173"/>
      <c r="R39"/>
      <c r="U39"/>
      <c r="V39"/>
      <c r="W39"/>
      <c r="X39"/>
      <c r="Y39"/>
      <c r="Z39"/>
      <c r="AA39"/>
      <c r="AB39"/>
    </row>
    <row r="40" spans="1:28" ht="30" customHeight="1" x14ac:dyDescent="0.2">
      <c r="A40" s="107" t="s">
        <v>70</v>
      </c>
      <c r="B40" s="93"/>
      <c r="C40" s="97" t="s">
        <v>221</v>
      </c>
      <c r="D40" s="579" t="s">
        <v>536</v>
      </c>
      <c r="E40" s="470"/>
      <c r="F40" s="470"/>
      <c r="G40" s="470"/>
      <c r="H40" s="470"/>
      <c r="I40" s="470"/>
      <c r="J40" s="470"/>
      <c r="K40" s="470"/>
      <c r="L40" s="470"/>
      <c r="M40" s="470"/>
      <c r="N40" s="470"/>
      <c r="O40" s="71"/>
      <c r="P40" s="95" t="str">
        <f t="shared" si="3"/>
        <v/>
      </c>
      <c r="Q40" s="173"/>
      <c r="R40"/>
      <c r="U40"/>
      <c r="V40"/>
      <c r="W40"/>
      <c r="X40"/>
      <c r="Y40"/>
      <c r="Z40"/>
      <c r="AA40"/>
      <c r="AB40"/>
    </row>
    <row r="41" spans="1:28" ht="41.25" customHeight="1" x14ac:dyDescent="0.2">
      <c r="A41" s="107">
        <v>1</v>
      </c>
      <c r="B41" s="93"/>
      <c r="C41" s="103" t="s">
        <v>222</v>
      </c>
      <c r="D41" s="445" t="s">
        <v>537</v>
      </c>
      <c r="E41" s="568"/>
      <c r="F41" s="568"/>
      <c r="G41" s="568"/>
      <c r="H41" s="568"/>
      <c r="I41" s="568"/>
      <c r="J41" s="568"/>
      <c r="K41" s="568"/>
      <c r="L41" s="568"/>
      <c r="M41" s="568"/>
      <c r="N41" s="569"/>
      <c r="O41" s="71"/>
      <c r="P41" s="95" t="str">
        <f t="shared" si="3"/>
        <v/>
      </c>
      <c r="Q41" s="173"/>
      <c r="R41"/>
      <c r="U41"/>
      <c r="V41"/>
      <c r="W41"/>
      <c r="X41"/>
      <c r="Y41"/>
      <c r="Z41"/>
      <c r="AA41"/>
      <c r="AB41"/>
    </row>
    <row r="42" spans="1:28" ht="34.5" customHeight="1" x14ac:dyDescent="0.2">
      <c r="A42" s="107"/>
      <c r="B42" s="93"/>
      <c r="C42" s="97" t="s">
        <v>223</v>
      </c>
      <c r="D42" s="445" t="s">
        <v>538</v>
      </c>
      <c r="E42" s="568"/>
      <c r="F42" s="568"/>
      <c r="G42" s="568"/>
      <c r="H42" s="568"/>
      <c r="I42" s="568"/>
      <c r="J42" s="568"/>
      <c r="K42" s="568"/>
      <c r="L42" s="568"/>
      <c r="M42" s="568"/>
      <c r="N42" s="569"/>
      <c r="O42" s="71"/>
      <c r="P42" s="95" t="str">
        <f t="shared" si="3"/>
        <v/>
      </c>
      <c r="Q42" s="173"/>
      <c r="R42"/>
      <c r="U42"/>
      <c r="V42"/>
      <c r="W42"/>
      <c r="X42"/>
      <c r="Y42"/>
      <c r="Z42"/>
      <c r="AA42"/>
      <c r="AB42"/>
    </row>
    <row r="43" spans="1:28" ht="33" customHeight="1" x14ac:dyDescent="0.2">
      <c r="A43" s="106">
        <v>1</v>
      </c>
      <c r="B43" s="93"/>
      <c r="C43" s="97" t="s">
        <v>224</v>
      </c>
      <c r="D43" s="445" t="s">
        <v>273</v>
      </c>
      <c r="E43" s="568"/>
      <c r="F43" s="568"/>
      <c r="G43" s="568"/>
      <c r="H43" s="568"/>
      <c r="I43" s="568"/>
      <c r="J43" s="568"/>
      <c r="K43" s="568"/>
      <c r="L43" s="568"/>
      <c r="M43" s="568"/>
      <c r="N43" s="569"/>
      <c r="O43" s="71"/>
      <c r="P43" s="95" t="str">
        <f t="shared" si="3"/>
        <v/>
      </c>
      <c r="Q43" s="173"/>
      <c r="R43"/>
      <c r="U43"/>
      <c r="V43"/>
      <c r="W43"/>
      <c r="X43"/>
      <c r="Y43"/>
      <c r="Z43"/>
      <c r="AA43"/>
      <c r="AB43"/>
    </row>
    <row r="44" spans="1:28" ht="35.25" customHeight="1" x14ac:dyDescent="0.2">
      <c r="A44" s="107" t="s">
        <v>73</v>
      </c>
      <c r="C44" s="103" t="s">
        <v>225</v>
      </c>
      <c r="D44" s="567" t="s">
        <v>274</v>
      </c>
      <c r="E44" s="470"/>
      <c r="F44" s="470"/>
      <c r="G44" s="470"/>
      <c r="H44" s="470"/>
      <c r="I44" s="470"/>
      <c r="J44" s="470"/>
      <c r="K44" s="470"/>
      <c r="L44" s="470"/>
      <c r="M44" s="470"/>
      <c r="N44" s="470"/>
      <c r="O44" s="71"/>
      <c r="P44" s="95" t="str">
        <f t="shared" si="3"/>
        <v/>
      </c>
      <c r="Q44" s="173"/>
      <c r="R44"/>
      <c r="U44"/>
      <c r="V44"/>
      <c r="W44"/>
      <c r="X44"/>
      <c r="Y44"/>
      <c r="Z44"/>
      <c r="AA44"/>
      <c r="AB44"/>
    </row>
    <row r="45" spans="1:28" ht="35.25" customHeight="1" x14ac:dyDescent="0.2">
      <c r="B45" s="93"/>
      <c r="C45" s="97" t="s">
        <v>226</v>
      </c>
      <c r="D45" s="445" t="s">
        <v>275</v>
      </c>
      <c r="E45" s="568"/>
      <c r="F45" s="568"/>
      <c r="G45" s="568"/>
      <c r="H45" s="568"/>
      <c r="I45" s="568"/>
      <c r="J45" s="568"/>
      <c r="K45" s="568"/>
      <c r="L45" s="568"/>
      <c r="M45" s="568"/>
      <c r="N45" s="569"/>
      <c r="O45" s="71"/>
      <c r="P45" s="95" t="str">
        <f t="shared" si="3"/>
        <v/>
      </c>
      <c r="Q45" s="173"/>
      <c r="R45"/>
      <c r="U45"/>
      <c r="V45"/>
      <c r="W45"/>
      <c r="X45"/>
      <c r="Y45"/>
      <c r="Z45"/>
      <c r="AA45"/>
      <c r="AB45"/>
    </row>
    <row r="46" spans="1:28" ht="18" customHeight="1" x14ac:dyDescent="0.2">
      <c r="C46" s="97" t="s">
        <v>227</v>
      </c>
      <c r="D46" s="445" t="s">
        <v>276</v>
      </c>
      <c r="E46" s="570"/>
      <c r="F46" s="570"/>
      <c r="G46" s="570"/>
      <c r="H46" s="570"/>
      <c r="I46" s="570"/>
      <c r="J46" s="570"/>
      <c r="K46" s="570"/>
      <c r="L46" s="570"/>
      <c r="M46" s="570"/>
      <c r="N46" s="570"/>
      <c r="O46" s="71"/>
      <c r="P46" s="95" t="str">
        <f t="shared" si="3"/>
        <v/>
      </c>
      <c r="Q46" s="173"/>
      <c r="R46"/>
      <c r="U46"/>
      <c r="V46"/>
      <c r="W46"/>
      <c r="X46"/>
      <c r="Y46"/>
      <c r="Z46"/>
      <c r="AA46"/>
      <c r="AB46"/>
    </row>
    <row r="47" spans="1:28" ht="35.25" customHeight="1" x14ac:dyDescent="0.2">
      <c r="A47" s="106">
        <v>1</v>
      </c>
      <c r="C47" s="103" t="s">
        <v>228</v>
      </c>
      <c r="D47" s="445" t="s">
        <v>277</v>
      </c>
      <c r="E47" s="568"/>
      <c r="F47" s="568"/>
      <c r="G47" s="568"/>
      <c r="H47" s="568"/>
      <c r="I47" s="568"/>
      <c r="J47" s="568"/>
      <c r="K47" s="568"/>
      <c r="L47" s="568"/>
      <c r="M47" s="568"/>
      <c r="N47" s="569"/>
      <c r="O47" s="71"/>
      <c r="P47" s="95" t="str">
        <f t="shared" si="3"/>
        <v/>
      </c>
      <c r="R47"/>
      <c r="U47"/>
      <c r="V47"/>
      <c r="W47"/>
      <c r="X47"/>
      <c r="Y47"/>
      <c r="Z47"/>
      <c r="AA47"/>
      <c r="AB47"/>
    </row>
    <row r="48" spans="1:28" ht="57.75" customHeight="1" x14ac:dyDescent="0.2">
      <c r="A48" s="107" t="s">
        <v>69</v>
      </c>
      <c r="C48" s="97" t="s">
        <v>229</v>
      </c>
      <c r="D48" s="565" t="s">
        <v>539</v>
      </c>
      <c r="E48" s="566"/>
      <c r="F48" s="566"/>
      <c r="G48" s="566"/>
      <c r="H48" s="566"/>
      <c r="I48" s="566"/>
      <c r="J48" s="566"/>
      <c r="K48" s="566"/>
      <c r="L48" s="566"/>
      <c r="M48" s="566"/>
      <c r="N48" s="566"/>
      <c r="O48" s="71"/>
      <c r="P48" s="95" t="str">
        <f t="shared" si="3"/>
        <v/>
      </c>
      <c r="Q48" s="171"/>
      <c r="R48"/>
      <c r="U48"/>
      <c r="V48"/>
      <c r="W48"/>
      <c r="X48"/>
      <c r="Y48"/>
      <c r="Z48"/>
      <c r="AA48"/>
      <c r="AB48"/>
    </row>
    <row r="49" spans="1:28" ht="39" customHeight="1" x14ac:dyDescent="0.2">
      <c r="A49" s="106">
        <v>1</v>
      </c>
      <c r="B49" s="93"/>
      <c r="C49" s="97" t="s">
        <v>230</v>
      </c>
      <c r="D49" s="567" t="s">
        <v>540</v>
      </c>
      <c r="E49" s="470"/>
      <c r="F49" s="470"/>
      <c r="G49" s="470"/>
      <c r="H49" s="470"/>
      <c r="I49" s="470"/>
      <c r="J49" s="470"/>
      <c r="K49" s="470"/>
      <c r="L49" s="470"/>
      <c r="M49" s="470"/>
      <c r="N49" s="471"/>
      <c r="O49" s="71"/>
      <c r="P49" s="95" t="str">
        <f t="shared" si="3"/>
        <v/>
      </c>
      <c r="Q49" s="123"/>
      <c r="R49"/>
      <c r="U49"/>
      <c r="V49"/>
      <c r="W49"/>
      <c r="X49"/>
      <c r="Y49"/>
      <c r="Z49"/>
      <c r="AA49"/>
      <c r="AB49"/>
    </row>
    <row r="50" spans="1:28" ht="19.5" customHeight="1" x14ac:dyDescent="0.2">
      <c r="A50" s="107" t="s">
        <v>73</v>
      </c>
      <c r="C50" s="580" t="s">
        <v>278</v>
      </c>
      <c r="D50" s="470"/>
      <c r="E50" s="470"/>
      <c r="F50" s="470"/>
      <c r="G50" s="470"/>
      <c r="H50" s="470"/>
      <c r="I50" s="470"/>
      <c r="J50" s="470"/>
      <c r="K50" s="470"/>
      <c r="L50" s="470"/>
      <c r="M50" s="470"/>
      <c r="N50" s="470"/>
      <c r="O50" s="347"/>
      <c r="P50" s="344"/>
      <c r="Q50" s="99"/>
      <c r="R50"/>
      <c r="U50"/>
      <c r="V50"/>
      <c r="W50"/>
      <c r="X50"/>
      <c r="Y50"/>
      <c r="Z50"/>
      <c r="AA50"/>
      <c r="AB50"/>
    </row>
    <row r="51" spans="1:28" ht="25.5" customHeight="1" x14ac:dyDescent="0.2">
      <c r="A51" s="107" t="s">
        <v>69</v>
      </c>
      <c r="B51" s="93"/>
      <c r="C51" s="581" t="s">
        <v>17</v>
      </c>
      <c r="D51" s="470"/>
      <c r="E51" s="470"/>
      <c r="F51" s="470"/>
      <c r="G51" s="470"/>
      <c r="H51" s="470"/>
      <c r="I51" s="470"/>
      <c r="J51" s="470"/>
      <c r="K51" s="470"/>
      <c r="L51" s="470"/>
      <c r="M51" s="470"/>
      <c r="N51" s="470"/>
      <c r="O51" s="345"/>
      <c r="Q51" s="359"/>
      <c r="R51"/>
      <c r="U51"/>
      <c r="V51"/>
      <c r="W51"/>
      <c r="X51"/>
      <c r="Y51"/>
      <c r="Z51"/>
      <c r="AA51"/>
      <c r="AB51"/>
    </row>
    <row r="52" spans="1:28" ht="21.75" customHeight="1" x14ac:dyDescent="0.25">
      <c r="A52" s="106">
        <v>1</v>
      </c>
      <c r="B52" s="93"/>
      <c r="C52" s="100" t="s">
        <v>264</v>
      </c>
      <c r="D52" s="576" t="s">
        <v>74</v>
      </c>
      <c r="E52" s="577"/>
      <c r="F52" s="577"/>
      <c r="G52" s="577"/>
      <c r="H52" s="577"/>
      <c r="I52" s="577"/>
      <c r="J52" s="577"/>
      <c r="K52" s="577"/>
      <c r="L52" s="577"/>
      <c r="M52" s="577"/>
      <c r="N52" s="578"/>
      <c r="O52" s="101" t="s">
        <v>265</v>
      </c>
      <c r="P52" s="101" t="s">
        <v>266</v>
      </c>
      <c r="Q52" s="173"/>
      <c r="R52"/>
      <c r="U52"/>
      <c r="V52"/>
      <c r="W52"/>
      <c r="X52"/>
      <c r="Y52"/>
      <c r="Z52"/>
      <c r="AA52"/>
      <c r="AB52"/>
    </row>
    <row r="53" spans="1:28" ht="34.5" customHeight="1" x14ac:dyDescent="0.2">
      <c r="A53" s="106">
        <v>1</v>
      </c>
      <c r="C53" s="94" t="s">
        <v>232</v>
      </c>
      <c r="D53" s="601" t="s">
        <v>279</v>
      </c>
      <c r="E53" s="595"/>
      <c r="F53" s="595"/>
      <c r="G53" s="595"/>
      <c r="H53" s="595"/>
      <c r="I53" s="595"/>
      <c r="J53" s="595"/>
      <c r="K53" s="595"/>
      <c r="L53" s="595"/>
      <c r="M53" s="595"/>
      <c r="N53" s="595"/>
      <c r="O53" s="71"/>
      <c r="P53" s="95" t="str">
        <f t="shared" ref="P53:P60" si="4">IF(O53="","",IF(O53="Yes","Pass",IF(O53="No","Fail","N/A")))</f>
        <v/>
      </c>
      <c r="Q53" s="173"/>
      <c r="R53"/>
      <c r="U53"/>
      <c r="V53"/>
      <c r="W53"/>
      <c r="X53"/>
      <c r="Y53"/>
      <c r="Z53"/>
      <c r="AA53"/>
      <c r="AB53"/>
    </row>
    <row r="54" spans="1:28" ht="60.75" customHeight="1" x14ac:dyDescent="0.2">
      <c r="A54" s="106">
        <v>1</v>
      </c>
      <c r="C54" s="94" t="s">
        <v>233</v>
      </c>
      <c r="D54" s="601" t="s">
        <v>457</v>
      </c>
      <c r="E54" s="605"/>
      <c r="F54" s="605"/>
      <c r="G54" s="605"/>
      <c r="H54" s="605"/>
      <c r="I54" s="605"/>
      <c r="J54" s="605"/>
      <c r="K54" s="605"/>
      <c r="L54" s="605"/>
      <c r="M54" s="605"/>
      <c r="N54" s="606"/>
      <c r="O54" s="71"/>
      <c r="P54" s="95" t="str">
        <f t="shared" si="4"/>
        <v/>
      </c>
      <c r="Q54" s="173"/>
      <c r="R54"/>
      <c r="U54"/>
      <c r="V54"/>
      <c r="W54"/>
      <c r="X54"/>
      <c r="Y54"/>
      <c r="Z54"/>
      <c r="AA54"/>
      <c r="AB54"/>
    </row>
    <row r="55" spans="1:28" ht="38.25" customHeight="1" x14ac:dyDescent="0.2">
      <c r="A55" s="106">
        <v>1</v>
      </c>
      <c r="B55" s="107" t="s">
        <v>70</v>
      </c>
      <c r="C55" s="94" t="s">
        <v>458</v>
      </c>
      <c r="D55" s="602" t="s">
        <v>454</v>
      </c>
      <c r="E55" s="603"/>
      <c r="F55" s="603"/>
      <c r="G55" s="603"/>
      <c r="H55" s="603"/>
      <c r="I55" s="603"/>
      <c r="J55" s="603"/>
      <c r="K55" s="603"/>
      <c r="L55" s="603"/>
      <c r="M55" s="603"/>
      <c r="N55" s="604"/>
      <c r="O55" s="71"/>
      <c r="P55" s="95" t="str">
        <f t="shared" si="4"/>
        <v/>
      </c>
      <c r="Q55" s="173"/>
      <c r="R55"/>
      <c r="U55"/>
      <c r="V55"/>
      <c r="W55"/>
      <c r="X55"/>
      <c r="Y55"/>
      <c r="Z55"/>
      <c r="AA55"/>
      <c r="AB55"/>
    </row>
    <row r="56" spans="1:28" ht="68.25" customHeight="1" x14ac:dyDescent="0.2">
      <c r="A56" s="107" t="s">
        <v>73</v>
      </c>
      <c r="C56" s="94" t="s">
        <v>234</v>
      </c>
      <c r="D56" s="594" t="s">
        <v>541</v>
      </c>
      <c r="E56" s="595"/>
      <c r="F56" s="595"/>
      <c r="G56" s="595"/>
      <c r="H56" s="595"/>
      <c r="I56" s="595"/>
      <c r="J56" s="595"/>
      <c r="K56" s="595"/>
      <c r="L56" s="595"/>
      <c r="M56" s="595"/>
      <c r="N56" s="596"/>
      <c r="O56" s="71"/>
      <c r="P56" s="95" t="str">
        <f t="shared" si="4"/>
        <v/>
      </c>
      <c r="Q56" s="173"/>
      <c r="R56"/>
      <c r="U56"/>
      <c r="V56"/>
      <c r="W56"/>
      <c r="X56"/>
      <c r="Y56"/>
      <c r="Z56"/>
      <c r="AA56"/>
      <c r="AB56"/>
    </row>
    <row r="57" spans="1:28" ht="31.5" customHeight="1" x14ac:dyDescent="0.2">
      <c r="B57" s="93"/>
      <c r="C57" s="94" t="s">
        <v>235</v>
      </c>
      <c r="D57" s="602" t="s">
        <v>459</v>
      </c>
      <c r="E57" s="603"/>
      <c r="F57" s="603"/>
      <c r="G57" s="603"/>
      <c r="H57" s="603"/>
      <c r="I57" s="603"/>
      <c r="J57" s="603"/>
      <c r="K57" s="603"/>
      <c r="L57" s="603"/>
      <c r="M57" s="603"/>
      <c r="N57" s="604"/>
      <c r="O57" s="71"/>
      <c r="P57" s="95" t="str">
        <f t="shared" si="4"/>
        <v/>
      </c>
      <c r="Q57" s="173"/>
      <c r="R57"/>
      <c r="U57"/>
      <c r="V57"/>
      <c r="W57"/>
      <c r="X57"/>
      <c r="Y57"/>
      <c r="Z57"/>
      <c r="AA57"/>
      <c r="AB57"/>
    </row>
    <row r="58" spans="1:28" ht="40.5" customHeight="1" x14ac:dyDescent="0.2">
      <c r="C58" s="104" t="s">
        <v>460</v>
      </c>
      <c r="D58" s="597" t="s">
        <v>455</v>
      </c>
      <c r="E58" s="595"/>
      <c r="F58" s="595"/>
      <c r="G58" s="595"/>
      <c r="H58" s="595"/>
      <c r="I58" s="595"/>
      <c r="J58" s="595"/>
      <c r="K58" s="595"/>
      <c r="L58" s="595"/>
      <c r="M58" s="595"/>
      <c r="N58" s="596"/>
      <c r="O58" s="71"/>
      <c r="P58" s="95" t="str">
        <f t="shared" si="4"/>
        <v/>
      </c>
      <c r="Q58" s="173"/>
      <c r="R58"/>
      <c r="U58"/>
      <c r="V58"/>
      <c r="W58"/>
      <c r="X58"/>
      <c r="Y58"/>
      <c r="Z58"/>
      <c r="AA58"/>
      <c r="AB58"/>
    </row>
    <row r="59" spans="1:28" ht="30" customHeight="1" x14ac:dyDescent="0.2">
      <c r="A59" s="107" t="s">
        <v>70</v>
      </c>
      <c r="C59" s="104" t="s">
        <v>236</v>
      </c>
      <c r="D59" s="598" t="s">
        <v>456</v>
      </c>
      <c r="E59" s="599"/>
      <c r="F59" s="599"/>
      <c r="G59" s="599"/>
      <c r="H59" s="599"/>
      <c r="I59" s="599"/>
      <c r="J59" s="599"/>
      <c r="K59" s="599"/>
      <c r="L59" s="599"/>
      <c r="M59" s="599"/>
      <c r="N59" s="600"/>
      <c r="O59" s="71"/>
      <c r="P59" s="95" t="str">
        <f t="shared" si="4"/>
        <v/>
      </c>
      <c r="Q59" s="173"/>
      <c r="R59"/>
      <c r="U59"/>
      <c r="V59"/>
      <c r="W59"/>
      <c r="X59"/>
      <c r="Y59"/>
      <c r="Z59"/>
      <c r="AA59"/>
      <c r="AB59"/>
    </row>
    <row r="60" spans="1:28" ht="30" customHeight="1" x14ac:dyDescent="0.2">
      <c r="A60" s="107" t="s">
        <v>70</v>
      </c>
      <c r="B60" s="93"/>
      <c r="C60" s="104" t="s">
        <v>237</v>
      </c>
      <c r="D60" s="598" t="s">
        <v>280</v>
      </c>
      <c r="E60" s="599"/>
      <c r="F60" s="599"/>
      <c r="G60" s="599"/>
      <c r="H60" s="599"/>
      <c r="I60" s="599"/>
      <c r="J60" s="599"/>
      <c r="K60" s="599"/>
      <c r="L60" s="599"/>
      <c r="M60" s="599"/>
      <c r="N60" s="600"/>
      <c r="O60" s="71"/>
      <c r="P60" s="95" t="str">
        <f t="shared" si="4"/>
        <v/>
      </c>
      <c r="Q60" s="171"/>
      <c r="R60"/>
      <c r="U60"/>
      <c r="V60"/>
      <c r="W60"/>
      <c r="X60"/>
      <c r="Y60"/>
      <c r="Z60"/>
      <c r="AA60"/>
      <c r="AB60"/>
    </row>
    <row r="61" spans="1:28" ht="22.5" customHeight="1" x14ac:dyDescent="0.2">
      <c r="A61" s="107" t="s">
        <v>69</v>
      </c>
      <c r="B61" s="107" t="s">
        <v>69</v>
      </c>
      <c r="C61" s="580" t="s">
        <v>281</v>
      </c>
      <c r="D61" s="470"/>
      <c r="E61" s="470"/>
      <c r="F61" s="470"/>
      <c r="G61" s="470"/>
      <c r="H61" s="470"/>
      <c r="I61" s="470"/>
      <c r="J61" s="470"/>
      <c r="K61" s="470"/>
      <c r="L61" s="470"/>
      <c r="M61" s="470"/>
      <c r="N61" s="470"/>
      <c r="O61" s="347"/>
      <c r="P61" s="345"/>
      <c r="Q61" s="172"/>
      <c r="R61"/>
      <c r="U61"/>
      <c r="V61"/>
      <c r="W61"/>
      <c r="X61"/>
      <c r="Y61"/>
      <c r="Z61"/>
      <c r="AA61"/>
      <c r="AB61"/>
    </row>
    <row r="62" spans="1:28" ht="28.5" customHeight="1" x14ac:dyDescent="0.2">
      <c r="A62" s="107"/>
      <c r="B62" s="147"/>
      <c r="C62" s="581" t="s">
        <v>17</v>
      </c>
      <c r="D62" s="470"/>
      <c r="E62" s="470"/>
      <c r="F62" s="470"/>
      <c r="G62" s="470"/>
      <c r="H62" s="470"/>
      <c r="I62" s="470"/>
      <c r="J62" s="470"/>
      <c r="K62" s="470"/>
      <c r="L62" s="470"/>
      <c r="M62" s="470"/>
      <c r="N62" s="470"/>
      <c r="O62" s="345"/>
      <c r="Q62" s="171"/>
      <c r="R62"/>
      <c r="U62"/>
      <c r="V62"/>
      <c r="W62"/>
      <c r="X62"/>
      <c r="Y62"/>
      <c r="Z62"/>
      <c r="AA62"/>
      <c r="AB62"/>
    </row>
    <row r="63" spans="1:28" ht="30" customHeight="1" x14ac:dyDescent="0.25">
      <c r="A63" s="107" t="s">
        <v>70</v>
      </c>
      <c r="B63" s="93"/>
      <c r="C63" s="100" t="s">
        <v>264</v>
      </c>
      <c r="D63" s="573" t="s">
        <v>75</v>
      </c>
      <c r="E63" s="574"/>
      <c r="F63" s="574"/>
      <c r="G63" s="574"/>
      <c r="H63" s="574"/>
      <c r="I63" s="574"/>
      <c r="J63" s="574"/>
      <c r="K63" s="574"/>
      <c r="L63" s="574"/>
      <c r="M63" s="574"/>
      <c r="N63" s="440"/>
      <c r="O63" s="101" t="s">
        <v>265</v>
      </c>
      <c r="P63" s="101" t="s">
        <v>266</v>
      </c>
      <c r="Q63" s="359"/>
      <c r="R63"/>
      <c r="U63"/>
      <c r="V63"/>
      <c r="W63"/>
      <c r="X63"/>
      <c r="Y63"/>
      <c r="Z63"/>
      <c r="AA63"/>
      <c r="AB63"/>
    </row>
    <row r="64" spans="1:28" ht="30" customHeight="1" x14ac:dyDescent="0.2">
      <c r="A64" s="107" t="s">
        <v>70</v>
      </c>
      <c r="B64" s="93"/>
      <c r="C64" s="94" t="s">
        <v>239</v>
      </c>
      <c r="D64" s="567" t="s">
        <v>461</v>
      </c>
      <c r="E64" s="470"/>
      <c r="F64" s="470"/>
      <c r="G64" s="470"/>
      <c r="H64" s="470"/>
      <c r="I64" s="470"/>
      <c r="J64" s="470"/>
      <c r="K64" s="470"/>
      <c r="L64" s="470"/>
      <c r="M64" s="470"/>
      <c r="N64" s="471"/>
      <c r="O64" s="71"/>
      <c r="P64" s="95" t="str">
        <f t="shared" ref="P64:P69" si="5">IF(O64="","",IF(O64="Yes","Pass",IF(O64="No","Fail","N/A")))</f>
        <v/>
      </c>
      <c r="Q64" s="173"/>
      <c r="R64"/>
      <c r="U64"/>
      <c r="V64"/>
      <c r="W64"/>
      <c r="X64"/>
      <c r="Y64"/>
      <c r="Z64"/>
      <c r="AA64"/>
      <c r="AB64"/>
    </row>
    <row r="65" spans="1:28" ht="33.75" customHeight="1" x14ac:dyDescent="0.2">
      <c r="A65" s="107" t="s">
        <v>76</v>
      </c>
      <c r="B65" s="93"/>
      <c r="C65" s="94" t="s">
        <v>240</v>
      </c>
      <c r="D65" s="567" t="s">
        <v>282</v>
      </c>
      <c r="E65" s="470"/>
      <c r="F65" s="470"/>
      <c r="G65" s="470"/>
      <c r="H65" s="470"/>
      <c r="I65" s="470"/>
      <c r="J65" s="470"/>
      <c r="K65" s="470"/>
      <c r="L65" s="470"/>
      <c r="M65" s="470"/>
      <c r="N65" s="471"/>
      <c r="O65" s="71"/>
      <c r="P65" s="95" t="str">
        <f t="shared" si="5"/>
        <v/>
      </c>
      <c r="Q65" s="173"/>
      <c r="R65"/>
      <c r="U65"/>
      <c r="V65"/>
      <c r="W65"/>
      <c r="X65"/>
      <c r="Y65"/>
      <c r="Z65"/>
      <c r="AA65"/>
      <c r="AB65"/>
    </row>
    <row r="66" spans="1:28" ht="49.5" customHeight="1" x14ac:dyDescent="0.2">
      <c r="A66" s="106">
        <v>1</v>
      </c>
      <c r="B66" s="93"/>
      <c r="C66" s="94" t="s">
        <v>241</v>
      </c>
      <c r="D66" s="567" t="s">
        <v>462</v>
      </c>
      <c r="E66" s="470"/>
      <c r="F66" s="470"/>
      <c r="G66" s="470"/>
      <c r="H66" s="470"/>
      <c r="I66" s="470"/>
      <c r="J66" s="470"/>
      <c r="K66" s="470"/>
      <c r="L66" s="470"/>
      <c r="M66" s="470"/>
      <c r="N66" s="471"/>
      <c r="O66" s="71"/>
      <c r="P66" s="95" t="str">
        <f t="shared" si="5"/>
        <v/>
      </c>
      <c r="Q66" s="173"/>
      <c r="R66"/>
      <c r="U66"/>
      <c r="V66"/>
      <c r="W66"/>
      <c r="X66"/>
      <c r="Y66"/>
      <c r="Z66"/>
      <c r="AA66"/>
      <c r="AB66"/>
    </row>
    <row r="67" spans="1:28" ht="35.25" customHeight="1" x14ac:dyDescent="0.2">
      <c r="A67" s="107" t="s">
        <v>73</v>
      </c>
      <c r="C67" s="148" t="s">
        <v>542</v>
      </c>
      <c r="D67" s="593" t="s">
        <v>464</v>
      </c>
      <c r="E67" s="470"/>
      <c r="F67" s="470"/>
      <c r="G67" s="470"/>
      <c r="H67" s="470"/>
      <c r="I67" s="470"/>
      <c r="J67" s="470"/>
      <c r="K67" s="470"/>
      <c r="L67" s="470"/>
      <c r="M67" s="470"/>
      <c r="N67" s="470"/>
      <c r="O67" s="71"/>
      <c r="P67" s="95" t="str">
        <f t="shared" si="5"/>
        <v/>
      </c>
      <c r="Q67" s="173"/>
      <c r="R67"/>
      <c r="U67"/>
      <c r="V67"/>
      <c r="W67"/>
      <c r="X67"/>
      <c r="Y67"/>
      <c r="Z67"/>
      <c r="AA67"/>
      <c r="AB67"/>
    </row>
    <row r="68" spans="1:28" ht="36" customHeight="1" x14ac:dyDescent="0.2">
      <c r="B68" s="93"/>
      <c r="C68" s="94" t="s">
        <v>242</v>
      </c>
      <c r="D68" s="469" t="s">
        <v>546</v>
      </c>
      <c r="E68" s="470"/>
      <c r="F68" s="470"/>
      <c r="G68" s="470"/>
      <c r="H68" s="470"/>
      <c r="I68" s="470"/>
      <c r="J68" s="470"/>
      <c r="K68" s="470"/>
      <c r="L68" s="470"/>
      <c r="M68" s="470"/>
      <c r="N68" s="471"/>
      <c r="O68" s="71"/>
      <c r="P68" s="95" t="str">
        <f t="shared" si="5"/>
        <v/>
      </c>
      <c r="Q68" s="173"/>
      <c r="R68"/>
      <c r="U68"/>
      <c r="V68"/>
      <c r="W68"/>
      <c r="X68"/>
      <c r="Y68"/>
      <c r="Z68"/>
      <c r="AA68"/>
      <c r="AB68"/>
    </row>
    <row r="69" spans="1:28" ht="52.5" customHeight="1" x14ac:dyDescent="0.2">
      <c r="C69" s="94" t="s">
        <v>243</v>
      </c>
      <c r="D69" s="469" t="s">
        <v>547</v>
      </c>
      <c r="E69" s="470"/>
      <c r="F69" s="470"/>
      <c r="G69" s="470"/>
      <c r="H69" s="470"/>
      <c r="I69" s="470"/>
      <c r="J69" s="470"/>
      <c r="K69" s="470"/>
      <c r="L69" s="470"/>
      <c r="M69" s="470"/>
      <c r="N69" s="471"/>
      <c r="O69" s="71"/>
      <c r="P69" s="95" t="str">
        <f t="shared" si="5"/>
        <v/>
      </c>
      <c r="Q69" s="173"/>
      <c r="R69"/>
      <c r="U69"/>
      <c r="V69"/>
      <c r="W69"/>
      <c r="X69"/>
      <c r="Y69"/>
      <c r="Z69"/>
      <c r="AA69"/>
      <c r="AB69"/>
    </row>
    <row r="70" spans="1:28" ht="21" customHeight="1" x14ac:dyDescent="0.25">
      <c r="A70" s="107" t="s">
        <v>70</v>
      </c>
      <c r="C70" s="608" t="s">
        <v>283</v>
      </c>
      <c r="D70" s="486"/>
      <c r="E70" s="486"/>
      <c r="F70" s="486"/>
      <c r="G70" s="486"/>
      <c r="H70" s="486"/>
      <c r="I70" s="486"/>
      <c r="J70" s="486"/>
      <c r="K70" s="486"/>
      <c r="L70" s="486"/>
      <c r="M70" s="486"/>
      <c r="N70" s="486"/>
      <c r="O70" s="348"/>
      <c r="P70" s="342"/>
      <c r="Q70" s="173"/>
      <c r="R70"/>
      <c r="U70"/>
      <c r="V70"/>
      <c r="W70"/>
      <c r="X70"/>
      <c r="Y70"/>
      <c r="Z70"/>
      <c r="AA70"/>
      <c r="AB70"/>
    </row>
    <row r="71" spans="1:28" ht="29.25" customHeight="1" x14ac:dyDescent="0.25">
      <c r="A71" s="107" t="s">
        <v>285</v>
      </c>
      <c r="B71" s="93"/>
      <c r="C71" s="581" t="s">
        <v>17</v>
      </c>
      <c r="D71" s="470"/>
      <c r="E71" s="470"/>
      <c r="F71" s="470"/>
      <c r="G71" s="470"/>
      <c r="H71" s="470"/>
      <c r="I71" s="470"/>
      <c r="J71" s="470"/>
      <c r="K71" s="470"/>
      <c r="L71" s="470"/>
      <c r="M71" s="470"/>
      <c r="N71" s="470"/>
      <c r="O71" s="345"/>
      <c r="Q71" s="352"/>
      <c r="R71"/>
      <c r="U71"/>
      <c r="V71"/>
      <c r="W71"/>
      <c r="X71"/>
      <c r="Y71"/>
      <c r="Z71"/>
      <c r="AA71"/>
      <c r="AB71"/>
    </row>
    <row r="72" spans="1:28" ht="21.75" customHeight="1" x14ac:dyDescent="0.25">
      <c r="A72" s="107" t="s">
        <v>76</v>
      </c>
      <c r="B72" s="107" t="s">
        <v>286</v>
      </c>
      <c r="C72" s="100" t="s">
        <v>264</v>
      </c>
      <c r="D72" s="573" t="s">
        <v>77</v>
      </c>
      <c r="E72" s="574"/>
      <c r="F72" s="574"/>
      <c r="G72" s="574"/>
      <c r="H72" s="574"/>
      <c r="I72" s="574"/>
      <c r="J72" s="574"/>
      <c r="K72" s="574"/>
      <c r="L72" s="574"/>
      <c r="M72" s="574"/>
      <c r="N72" s="574"/>
      <c r="O72" s="101" t="s">
        <v>265</v>
      </c>
      <c r="P72" s="101" t="s">
        <v>266</v>
      </c>
      <c r="Q72" s="172"/>
      <c r="R72"/>
      <c r="U72"/>
      <c r="V72"/>
      <c r="W72"/>
      <c r="X72"/>
      <c r="Y72"/>
      <c r="Z72"/>
      <c r="AA72"/>
      <c r="AB72"/>
    </row>
    <row r="73" spans="1:28" ht="36" customHeight="1" x14ac:dyDescent="0.2">
      <c r="A73" s="107" t="s">
        <v>287</v>
      </c>
      <c r="B73" s="107" t="s">
        <v>80</v>
      </c>
      <c r="C73" s="102" t="s">
        <v>245</v>
      </c>
      <c r="D73" s="607" t="s">
        <v>284</v>
      </c>
      <c r="E73" s="470"/>
      <c r="F73" s="470"/>
      <c r="G73" s="470"/>
      <c r="H73" s="470"/>
      <c r="I73" s="470"/>
      <c r="J73" s="470"/>
      <c r="K73" s="470"/>
      <c r="L73" s="470"/>
      <c r="M73" s="470"/>
      <c r="N73" s="470"/>
      <c r="O73" s="71"/>
      <c r="P73" s="95" t="str">
        <f>IF(O73="","",IF(O73="Yes","Fail",IF(O73="No","Pass","N/A")))</f>
        <v/>
      </c>
      <c r="R73"/>
      <c r="U73"/>
      <c r="V73"/>
      <c r="W73"/>
      <c r="X73"/>
      <c r="Y73"/>
      <c r="Z73"/>
      <c r="AA73"/>
      <c r="AB73"/>
    </row>
    <row r="74" spans="1:28" ht="189" customHeight="1" x14ac:dyDescent="0.2">
      <c r="A74" s="107" t="s">
        <v>288</v>
      </c>
      <c r="B74" s="93"/>
      <c r="C74" s="102" t="s">
        <v>246</v>
      </c>
      <c r="D74" s="609" t="s">
        <v>552</v>
      </c>
      <c r="E74" s="470"/>
      <c r="F74" s="470"/>
      <c r="G74" s="470"/>
      <c r="H74" s="470"/>
      <c r="I74" s="470"/>
      <c r="J74" s="470"/>
      <c r="K74" s="470"/>
      <c r="L74" s="470"/>
      <c r="M74" s="470"/>
      <c r="N74" s="470"/>
      <c r="O74" s="71"/>
      <c r="P74" s="95" t="str">
        <f>IF(O74="","",IF(O74="Yes","Fail",IF(O74="No","Pass","N/A")))</f>
        <v/>
      </c>
      <c r="Q74" s="359"/>
      <c r="R74"/>
      <c r="U74"/>
      <c r="V74"/>
      <c r="W74"/>
      <c r="X74"/>
      <c r="Y74"/>
      <c r="Z74"/>
      <c r="AA74"/>
      <c r="AB74"/>
    </row>
    <row r="75" spans="1:28" ht="94.5" customHeight="1" x14ac:dyDescent="0.2">
      <c r="A75" s="107" t="s">
        <v>81</v>
      </c>
      <c r="B75" s="93"/>
      <c r="C75" s="102" t="s">
        <v>247</v>
      </c>
      <c r="D75" s="609" t="s">
        <v>551</v>
      </c>
      <c r="E75" s="470"/>
      <c r="F75" s="470"/>
      <c r="G75" s="470"/>
      <c r="H75" s="470"/>
      <c r="I75" s="470"/>
      <c r="J75" s="470"/>
      <c r="K75" s="470"/>
      <c r="L75" s="470"/>
      <c r="M75" s="470"/>
      <c r="N75" s="470"/>
      <c r="O75" s="71"/>
      <c r="P75" s="95" t="str">
        <f t="shared" ref="P75:P82" si="6">IF(O75="","",IF(O75="Yes","Pass",IF(O75="No","Fail","N/A")))</f>
        <v/>
      </c>
      <c r="Q75" s="173"/>
      <c r="R75"/>
      <c r="U75"/>
      <c r="V75"/>
      <c r="W75"/>
      <c r="X75"/>
      <c r="Y75"/>
      <c r="Z75"/>
      <c r="AA75"/>
      <c r="AB75"/>
    </row>
    <row r="76" spans="1:28" ht="126" customHeight="1" x14ac:dyDescent="0.2">
      <c r="A76" s="107" t="s">
        <v>69</v>
      </c>
      <c r="B76" s="93"/>
      <c r="C76" s="102" t="s">
        <v>248</v>
      </c>
      <c r="D76" s="579" t="s">
        <v>550</v>
      </c>
      <c r="E76" s="572"/>
      <c r="F76" s="572"/>
      <c r="G76" s="572"/>
      <c r="H76" s="572"/>
      <c r="I76" s="572"/>
      <c r="J76" s="572"/>
      <c r="K76" s="572"/>
      <c r="L76" s="572"/>
      <c r="M76" s="572"/>
      <c r="N76" s="572"/>
      <c r="O76" s="71"/>
      <c r="P76" s="95" t="str">
        <f t="shared" si="6"/>
        <v/>
      </c>
      <c r="Q76" s="173"/>
      <c r="R76"/>
      <c r="U76"/>
      <c r="V76"/>
      <c r="W76"/>
      <c r="X76"/>
      <c r="Y76"/>
      <c r="Z76"/>
      <c r="AA76"/>
      <c r="AB76"/>
    </row>
    <row r="77" spans="1:28" ht="78" customHeight="1" x14ac:dyDescent="0.2">
      <c r="A77" s="107" t="s">
        <v>288</v>
      </c>
      <c r="B77" s="93"/>
      <c r="C77" s="102" t="s">
        <v>249</v>
      </c>
      <c r="D77" s="579" t="s">
        <v>289</v>
      </c>
      <c r="E77" s="572"/>
      <c r="F77" s="572"/>
      <c r="G77" s="572"/>
      <c r="H77" s="572"/>
      <c r="I77" s="572"/>
      <c r="J77" s="572"/>
      <c r="K77" s="572"/>
      <c r="L77" s="572"/>
      <c r="M77" s="572"/>
      <c r="N77" s="582"/>
      <c r="O77" s="71"/>
      <c r="P77" s="95" t="str">
        <f t="shared" si="6"/>
        <v/>
      </c>
      <c r="Q77" s="173"/>
      <c r="R77"/>
      <c r="U77"/>
      <c r="V77"/>
      <c r="W77"/>
      <c r="X77"/>
      <c r="Y77"/>
      <c r="Z77"/>
      <c r="AA77"/>
      <c r="AB77"/>
    </row>
    <row r="78" spans="1:28" ht="108.75" customHeight="1" x14ac:dyDescent="0.2">
      <c r="A78" s="107" t="s">
        <v>73</v>
      </c>
      <c r="B78" s="93"/>
      <c r="C78" s="102" t="s">
        <v>250</v>
      </c>
      <c r="D78" s="579" t="s">
        <v>543</v>
      </c>
      <c r="E78" s="572"/>
      <c r="F78" s="572"/>
      <c r="G78" s="572"/>
      <c r="H78" s="572"/>
      <c r="I78" s="572"/>
      <c r="J78" s="572"/>
      <c r="K78" s="572"/>
      <c r="L78" s="572"/>
      <c r="M78" s="572"/>
      <c r="N78" s="582"/>
      <c r="O78" s="71"/>
      <c r="P78" s="95" t="str">
        <f t="shared" si="6"/>
        <v/>
      </c>
      <c r="Q78" s="173"/>
      <c r="R78"/>
      <c r="U78"/>
      <c r="V78"/>
      <c r="W78"/>
      <c r="X78"/>
      <c r="Y78"/>
      <c r="Z78"/>
      <c r="AA78"/>
      <c r="AB78"/>
    </row>
    <row r="79" spans="1:28" ht="36" customHeight="1" x14ac:dyDescent="0.2">
      <c r="A79" s="107" t="s">
        <v>81</v>
      </c>
      <c r="B79" s="93"/>
      <c r="C79" s="102" t="s">
        <v>251</v>
      </c>
      <c r="D79" s="567" t="s">
        <v>290</v>
      </c>
      <c r="E79" s="572"/>
      <c r="F79" s="572"/>
      <c r="G79" s="572"/>
      <c r="H79" s="572"/>
      <c r="I79" s="572"/>
      <c r="J79" s="572"/>
      <c r="K79" s="572"/>
      <c r="L79" s="572"/>
      <c r="M79" s="572"/>
      <c r="N79" s="582"/>
      <c r="O79" s="71"/>
      <c r="P79" s="95" t="str">
        <f t="shared" si="6"/>
        <v/>
      </c>
      <c r="Q79" s="173"/>
      <c r="R79"/>
      <c r="U79"/>
      <c r="V79"/>
      <c r="W79"/>
      <c r="X79"/>
      <c r="Y79"/>
      <c r="Z79"/>
      <c r="AA79"/>
      <c r="AB79"/>
    </row>
    <row r="80" spans="1:28" ht="91.5" customHeight="1" x14ac:dyDescent="0.2">
      <c r="A80" s="107" t="s">
        <v>81</v>
      </c>
      <c r="B80" s="93"/>
      <c r="C80" s="102" t="s">
        <v>252</v>
      </c>
      <c r="D80" s="579" t="s">
        <v>549</v>
      </c>
      <c r="E80" s="572"/>
      <c r="F80" s="572"/>
      <c r="G80" s="572"/>
      <c r="H80" s="572"/>
      <c r="I80" s="572"/>
      <c r="J80" s="572"/>
      <c r="K80" s="572"/>
      <c r="L80" s="572"/>
      <c r="M80" s="572"/>
      <c r="N80" s="582"/>
      <c r="O80" s="71"/>
      <c r="P80" s="95" t="str">
        <f t="shared" si="6"/>
        <v/>
      </c>
      <c r="Q80" s="173"/>
      <c r="R80"/>
      <c r="U80"/>
      <c r="V80"/>
      <c r="W80"/>
      <c r="X80"/>
      <c r="Y80"/>
      <c r="Z80"/>
      <c r="AA80"/>
      <c r="AB80"/>
    </row>
    <row r="81" spans="1:18" ht="61.5" customHeight="1" x14ac:dyDescent="0.2">
      <c r="A81" s="107" t="s">
        <v>288</v>
      </c>
      <c r="B81" s="93"/>
      <c r="C81" s="102" t="s">
        <v>253</v>
      </c>
      <c r="D81" s="579" t="s">
        <v>291</v>
      </c>
      <c r="E81" s="572"/>
      <c r="F81" s="572"/>
      <c r="G81" s="572"/>
      <c r="H81" s="572"/>
      <c r="I81" s="572"/>
      <c r="J81" s="572"/>
      <c r="K81" s="572"/>
      <c r="L81" s="572"/>
      <c r="M81" s="572"/>
      <c r="N81" s="582"/>
      <c r="O81" s="71"/>
      <c r="P81" s="95" t="str">
        <f t="shared" si="6"/>
        <v/>
      </c>
      <c r="Q81"/>
      <c r="R81"/>
    </row>
    <row r="82" spans="1:18" ht="78.75" customHeight="1" x14ac:dyDescent="0.2">
      <c r="A82" s="106">
        <v>1</v>
      </c>
      <c r="B82" s="93"/>
      <c r="C82" s="102" t="s">
        <v>254</v>
      </c>
      <c r="D82" s="609" t="s">
        <v>548</v>
      </c>
      <c r="E82" s="470"/>
      <c r="F82" s="470"/>
      <c r="G82" s="470"/>
      <c r="H82" s="470"/>
      <c r="I82" s="470"/>
      <c r="J82" s="470"/>
      <c r="K82" s="470"/>
      <c r="L82" s="470"/>
      <c r="M82" s="470"/>
      <c r="N82" s="471"/>
      <c r="O82" s="71"/>
      <c r="P82" s="95" t="str">
        <f t="shared" si="6"/>
        <v/>
      </c>
      <c r="Q82"/>
      <c r="R82"/>
    </row>
    <row r="83" spans="1:18" ht="20.25" customHeight="1" x14ac:dyDescent="0.2">
      <c r="A83" s="107" t="s">
        <v>73</v>
      </c>
      <c r="C83" s="469" t="s">
        <v>292</v>
      </c>
      <c r="D83" s="470"/>
      <c r="E83" s="470"/>
      <c r="F83" s="470"/>
      <c r="G83" s="470"/>
      <c r="H83" s="470"/>
      <c r="I83" s="470"/>
      <c r="J83" s="470"/>
      <c r="K83" s="470"/>
      <c r="L83" s="470"/>
      <c r="M83" s="470"/>
      <c r="N83" s="470"/>
      <c r="O83" s="346"/>
      <c r="P83" s="95"/>
      <c r="Q83"/>
      <c r="R83"/>
    </row>
    <row r="84" spans="1:18" ht="21" customHeight="1" x14ac:dyDescent="0.2">
      <c r="B84" s="93"/>
      <c r="C84" s="581" t="s">
        <v>17</v>
      </c>
      <c r="D84" s="470"/>
      <c r="E84" s="470"/>
      <c r="F84" s="470"/>
      <c r="G84" s="470"/>
      <c r="H84" s="470"/>
      <c r="I84" s="470"/>
      <c r="J84" s="470"/>
      <c r="K84" s="470"/>
      <c r="L84" s="470"/>
      <c r="M84" s="470"/>
      <c r="N84" s="470"/>
      <c r="O84" s="345"/>
      <c r="P84" s="346"/>
      <c r="Q84"/>
      <c r="R84"/>
    </row>
    <row r="85" spans="1:18" ht="18" x14ac:dyDescent="0.2">
      <c r="P85" s="345"/>
      <c r="Q85" s="173"/>
      <c r="R85" s="173"/>
    </row>
    <row r="86" spans="1:18" ht="18" x14ac:dyDescent="0.2">
      <c r="P86" s="105"/>
      <c r="Q86" s="173"/>
      <c r="R86" s="173"/>
    </row>
    <row r="87" spans="1:18" x14ac:dyDescent="0.2">
      <c r="P87" s="105"/>
      <c r="Q87" s="105"/>
      <c r="R87" s="105"/>
    </row>
    <row r="88" spans="1:18" x14ac:dyDescent="0.2">
      <c r="Q88" s="105"/>
      <c r="R88" s="105"/>
    </row>
    <row r="89" spans="1:18" x14ac:dyDescent="0.2">
      <c r="Q89" s="105"/>
      <c r="R89" s="105"/>
    </row>
    <row r="90" spans="1:18" x14ac:dyDescent="0.2">
      <c r="Q90" s="105"/>
      <c r="R90" s="105"/>
    </row>
  </sheetData>
  <sheetProtection algorithmName="SHA-512" hashValue="/plvDCSF7XctSENLTk9Ai6M1uHORmnZMYN0aDxFlt0vYvN9ydRgbO+x6WMMJmyKiAVHnIYCRsa/4pvlEG1A08w==" saltValue="y280qnY/egIlk96fBciI8w==" spinCount="100000" sheet="1" objects="1" scenarios="1"/>
  <mergeCells count="83">
    <mergeCell ref="C84:N84"/>
    <mergeCell ref="D69:N69"/>
    <mergeCell ref="C70:N70"/>
    <mergeCell ref="C71:N71"/>
    <mergeCell ref="D82:N82"/>
    <mergeCell ref="C83:N83"/>
    <mergeCell ref="D76:N76"/>
    <mergeCell ref="D37:N37"/>
    <mergeCell ref="D49:N49"/>
    <mergeCell ref="C50:N50"/>
    <mergeCell ref="C51:N51"/>
    <mergeCell ref="D60:N60"/>
    <mergeCell ref="D41:N41"/>
    <mergeCell ref="D47:N47"/>
    <mergeCell ref="D48:N48"/>
    <mergeCell ref="D42:N42"/>
    <mergeCell ref="D40:N40"/>
    <mergeCell ref="D58:N58"/>
    <mergeCell ref="D56:N56"/>
    <mergeCell ref="D57:N57"/>
    <mergeCell ref="C28:N28"/>
    <mergeCell ref="D33:N33"/>
    <mergeCell ref="C34:N34"/>
    <mergeCell ref="C35:N35"/>
    <mergeCell ref="D31:N31"/>
    <mergeCell ref="D15:N15"/>
    <mergeCell ref="D16:N16"/>
    <mergeCell ref="D17:N17"/>
    <mergeCell ref="D22:N22"/>
    <mergeCell ref="C27:N27"/>
    <mergeCell ref="C2:G2"/>
    <mergeCell ref="D14:N14"/>
    <mergeCell ref="D8:N8"/>
    <mergeCell ref="D9:N9"/>
    <mergeCell ref="D10:N10"/>
    <mergeCell ref="D11:N11"/>
    <mergeCell ref="D12:N12"/>
    <mergeCell ref="D13:N13"/>
    <mergeCell ref="E5:G5"/>
    <mergeCell ref="D65:N65"/>
    <mergeCell ref="D32:N32"/>
    <mergeCell ref="D36:N36"/>
    <mergeCell ref="D24:N24"/>
    <mergeCell ref="D25:N25"/>
    <mergeCell ref="D63:N63"/>
    <mergeCell ref="D55:N55"/>
    <mergeCell ref="D39:N39"/>
    <mergeCell ref="D30:N30"/>
    <mergeCell ref="D43:N43"/>
    <mergeCell ref="D44:N44"/>
    <mergeCell ref="D52:N52"/>
    <mergeCell ref="D64:N64"/>
    <mergeCell ref="D59:N59"/>
    <mergeCell ref="D53:N53"/>
    <mergeCell ref="D54:N54"/>
    <mergeCell ref="C61:N61"/>
    <mergeCell ref="C62:N62"/>
    <mergeCell ref="S1:U1"/>
    <mergeCell ref="T4:U4"/>
    <mergeCell ref="D18:N18"/>
    <mergeCell ref="K1:L1"/>
    <mergeCell ref="D19:N19"/>
    <mergeCell ref="C20:N20"/>
    <mergeCell ref="C21:N21"/>
    <mergeCell ref="D23:N23"/>
    <mergeCell ref="D45:N45"/>
    <mergeCell ref="D46:N46"/>
    <mergeCell ref="D29:N29"/>
    <mergeCell ref="D26:N26"/>
    <mergeCell ref="K2:L2"/>
    <mergeCell ref="C1:G1"/>
    <mergeCell ref="D66:N66"/>
    <mergeCell ref="D67:N67"/>
    <mergeCell ref="D81:N81"/>
    <mergeCell ref="D78:N78"/>
    <mergeCell ref="D77:N77"/>
    <mergeCell ref="D79:N79"/>
    <mergeCell ref="D68:N68"/>
    <mergeCell ref="D72:N72"/>
    <mergeCell ref="D73:N73"/>
    <mergeCell ref="D74:N74"/>
    <mergeCell ref="D75:N75"/>
    <mergeCell ref="D80:N80"/>
  </mergeCells>
  <conditionalFormatting sqref="M5">
    <cfRule type="containsText" dxfId="34" priority="4" operator="containsText" text="Fail">
      <formula>NOT(ISERROR(SEARCH("Fail",M5)))</formula>
    </cfRule>
  </conditionalFormatting>
  <conditionalFormatting sqref="P8:R19 P20 P22:R26 P29:R33 Q34:Q46 P36:P37 P39:P49 Q51:Q59 P52:P60 P63:P69 Q63:Q70 P72:P83 Q74:Q80">
    <cfRule type="containsText" dxfId="33" priority="1" operator="containsText" text="Fail">
      <formula>NOT(ISERROR(SEARCH("Fail",P8)))</formula>
    </cfRule>
  </conditionalFormatting>
  <conditionalFormatting sqref="Q85:R86">
    <cfRule type="containsText" dxfId="32" priority="6" operator="containsText" text="Fail">
      <formula>NOT(ISERROR(SEARCH("Fail",Q85)))</formula>
    </cfRule>
  </conditionalFormatting>
  <conditionalFormatting sqref="U1:U3 T4">
    <cfRule type="containsText" dxfId="31" priority="2" operator="containsText" text="Fail">
      <formula>NOT(ISERROR(SEARCH("Fail",T1)))</formula>
    </cfRule>
  </conditionalFormatting>
  <conditionalFormatting sqref="AE9">
    <cfRule type="containsText" dxfId="30" priority="5" operator="containsText" text="Fail">
      <formula>NOT(ISERROR(SEARCH("Fail",AE9)))</formula>
    </cfRule>
  </conditionalFormatting>
  <dataValidations count="4">
    <dataValidation type="whole" operator="greaterThan" allowBlank="1" showInputMessage="1" showErrorMessage="1" sqref="X9:X34" xr:uid="{13A5F490-04CE-4FDF-B8DB-07E2E29D28A3}">
      <formula1>0</formula1>
    </dataValidation>
    <dataValidation type="date" operator="greaterThan" allowBlank="1" showInputMessage="1" showErrorMessage="1" sqref="W9:W34" xr:uid="{40440A12-8064-4EC4-B401-2450D0580051}">
      <formula1>36526</formula1>
    </dataValidation>
    <dataValidation type="list" showErrorMessage="1" errorTitle="Invalid Selection" error="Select either Yes, No, or N/A from the dropdown list. Click &quot;Cancel&quot; below, then update selection." sqref="O73:O82 O23:O26 O53:O60 O39:O49 O64:O69 O37 O30:O33 O9:O19" xr:uid="{D19B22FA-1733-4F73-8D34-B2B69059010D}">
      <formula1>"Yes,No,N/A"</formula1>
    </dataValidation>
    <dataValidation type="decimal" operator="greaterThanOrEqual" allowBlank="1" showInputMessage="1" showErrorMessage="1" errorTitle="Input Error" error="Insert the claimed amount with dollars and cents in $0.00 format. Click &quot;Cancel&quot; below and try again." sqref="Y9:Y34" xr:uid="{6B331249-3738-4875-B90B-27E42CDF9B73}">
      <formula1>0</formula1>
    </dataValidation>
  </dataValidations>
  <pageMargins left="0.7" right="0.7" top="1" bottom="0.75" header="0.3" footer="0.3"/>
  <pageSetup scale="70" fitToHeight="0" orientation="portrait" r:id="rId1"/>
  <headerFooter>
    <oddHeader>&amp;CConfidential QI Report
San Diego County Mental Health Plan
Behavioral Health Services
Fiscal Year 23-24</oddHeader>
    <oddFooter>&amp;LFY 23-24 Medical Record Review Report - Excel - Rev. 7-1-23</oddFooter>
  </headerFooter>
  <colBreaks count="1" manualBreakCount="1">
    <brk id="16" max="84"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979E55A5-E4E8-4441-95D0-A2A4A57E31E5}">
          <x14:formula1>
            <xm:f>Validations!$E$4:$E$15</xm:f>
          </x14:formula1>
          <xm:sqref>Z9:Z34</xm:sqref>
        </x14:dataValidation>
        <x14:dataValidation type="list" allowBlank="1" showInputMessage="1" showErrorMessage="1" xr:uid="{74226EE0-8D59-4584-A869-845B769B452D}">
          <x14:formula1>
            <xm:f>Validations!$D$4:$D$7</xm:f>
          </x14:formula1>
          <xm:sqref>AA9:AA34</xm:sqref>
        </x14:dataValidation>
        <x14:dataValidation type="list" allowBlank="1" showInputMessage="1" showErrorMessage="1" xr:uid="{70883EF3-029F-4851-8E53-EC8D9470D268}">
          <x14:formula1>
            <xm:f>Validations!$C$4:$C$54</xm:f>
          </x14:formula1>
          <xm:sqref>V9:V34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ED3DB-6EDD-4286-ABCB-9D4E239607BA}">
  <sheetPr codeName="Sheet17">
    <tabColor theme="3" tint="0.39997558519241921"/>
  </sheetPr>
  <dimension ref="A1:AE90"/>
  <sheetViews>
    <sheetView showGridLines="0" view="pageBreakPreview" zoomScale="92" zoomScaleNormal="80" zoomScaleSheetLayoutView="92" workbookViewId="0">
      <selection activeCell="D12" sqref="D12:N12"/>
    </sheetView>
  </sheetViews>
  <sheetFormatPr defaultColWidth="9.5703125" defaultRowHeight="15" x14ac:dyDescent="0.2"/>
  <cols>
    <col min="1" max="1" width="7.7109375" style="106" customWidth="1"/>
    <col min="2" max="2" width="8.42578125" style="4" customWidth="1"/>
    <col min="3" max="3" width="8.42578125" style="5" customWidth="1"/>
    <col min="4" max="4" width="2.5703125" style="1" customWidth="1"/>
    <col min="5" max="5" width="7.140625" style="1" customWidth="1"/>
    <col min="6" max="6" width="8.5703125" style="1" customWidth="1"/>
    <col min="7" max="7" width="6.42578125" style="1" customWidth="1"/>
    <col min="8" max="8" width="4.7109375" style="1" customWidth="1"/>
    <col min="9" max="9" width="27.28515625" style="1" customWidth="1"/>
    <col min="10" max="10" width="2.5703125" style="1" customWidth="1"/>
    <col min="11" max="11" width="18.140625" style="1" customWidth="1"/>
    <col min="12" max="12" width="3.42578125" style="1" customWidth="1"/>
    <col min="13" max="13" width="12.140625" style="1" customWidth="1"/>
    <col min="14" max="14" width="9.5703125" style="1" customWidth="1"/>
    <col min="15" max="15" width="13.28515625" style="1" customWidth="1"/>
    <col min="16" max="16" width="8.7109375" style="1" hidden="1" customWidth="1"/>
    <col min="17" max="18" width="2.28515625" style="1" customWidth="1"/>
    <col min="19" max="19" width="11.7109375" customWidth="1"/>
    <col min="20" max="20" width="10.85546875" customWidth="1"/>
    <col min="21" max="21" width="12.42578125" style="1" customWidth="1"/>
    <col min="22" max="22" width="23.42578125" style="1" customWidth="1"/>
    <col min="23" max="23" width="12.42578125" style="1" customWidth="1"/>
    <col min="24" max="25" width="9.5703125" style="1"/>
    <col min="26" max="26" width="12.140625" style="1" customWidth="1"/>
    <col min="27" max="27" width="14.42578125" style="1" customWidth="1"/>
    <col min="28" max="28" width="24.28515625" style="1" customWidth="1"/>
    <col min="29" max="16384" width="9.5703125" style="1"/>
  </cols>
  <sheetData>
    <row r="1" spans="1:31" s="5" customFormat="1" ht="15.75" x14ac:dyDescent="0.25">
      <c r="A1" s="106"/>
      <c r="B1" s="4"/>
      <c r="C1" s="560" t="s">
        <v>338</v>
      </c>
      <c r="D1" s="561"/>
      <c r="E1" s="561"/>
      <c r="F1" s="561"/>
      <c r="G1" s="562"/>
      <c r="H1"/>
      <c r="I1" s="86" t="s">
        <v>38</v>
      </c>
      <c r="J1" s="153"/>
      <c r="K1" s="560" t="s">
        <v>12</v>
      </c>
      <c r="L1" s="562"/>
      <c r="N1"/>
      <c r="O1"/>
      <c r="P1"/>
      <c r="Q1"/>
      <c r="R1"/>
      <c r="S1" s="560" t="s">
        <v>260</v>
      </c>
      <c r="T1" s="561"/>
      <c r="U1" s="562"/>
      <c r="V1"/>
      <c r="W1"/>
      <c r="X1"/>
      <c r="Y1"/>
      <c r="Z1"/>
      <c r="AA1"/>
      <c r="AB1"/>
    </row>
    <row r="2" spans="1:31" s="5" customFormat="1" ht="15" customHeight="1" x14ac:dyDescent="0.2">
      <c r="A2" s="106"/>
      <c r="B2" s="4"/>
      <c r="C2" s="583">
        <f>'Chart Review Info'!D3</f>
        <v>0</v>
      </c>
      <c r="D2" s="584"/>
      <c r="E2" s="584"/>
      <c r="F2" s="584"/>
      <c r="G2" s="585"/>
      <c r="H2"/>
      <c r="I2" s="150">
        <f>'Chart Review Info'!D4</f>
        <v>0</v>
      </c>
      <c r="J2" s="153"/>
      <c r="K2" s="592">
        <f>'Chart Review Info'!F28</f>
        <v>0</v>
      </c>
      <c r="L2" s="591"/>
      <c r="N2"/>
      <c r="O2"/>
      <c r="P2"/>
      <c r="Q2"/>
      <c r="R2"/>
      <c r="S2" s="55">
        <f>'Chart Review Info'!G4</f>
        <v>0</v>
      </c>
      <c r="T2" s="82" t="s">
        <v>261</v>
      </c>
      <c r="U2" s="83">
        <f>'Chart Review Info'!G5</f>
        <v>0</v>
      </c>
      <c r="V2"/>
      <c r="W2"/>
      <c r="X2"/>
      <c r="Y2"/>
      <c r="Z2"/>
      <c r="AA2"/>
      <c r="AB2"/>
    </row>
    <row r="3" spans="1:31" s="5" customFormat="1" x14ac:dyDescent="0.2">
      <c r="A3" s="106"/>
      <c r="B3" s="4"/>
      <c r="C3" s="84"/>
      <c r="H3"/>
      <c r="J3" s="98"/>
      <c r="V3"/>
      <c r="W3"/>
      <c r="X3"/>
      <c r="Y3"/>
      <c r="Z3"/>
      <c r="AA3"/>
      <c r="AB3"/>
    </row>
    <row r="4" spans="1:31" s="5" customFormat="1" ht="15.75" x14ac:dyDescent="0.25">
      <c r="A4" s="106"/>
      <c r="B4" s="4"/>
      <c r="C4" s="85" t="s">
        <v>202</v>
      </c>
      <c r="E4" s="85" t="s">
        <v>86</v>
      </c>
      <c r="F4" s="86"/>
      <c r="G4" s="85"/>
      <c r="H4"/>
      <c r="I4" s="151" t="s">
        <v>350</v>
      </c>
      <c r="J4" s="98"/>
      <c r="K4" s="87" t="s">
        <v>260</v>
      </c>
      <c r="L4" s="88"/>
      <c r="O4" s="86" t="s">
        <v>294</v>
      </c>
      <c r="P4"/>
      <c r="Q4"/>
      <c r="R4"/>
      <c r="S4" s="85" t="s">
        <v>12</v>
      </c>
      <c r="T4" s="563">
        <f>Prog_15</f>
        <v>0</v>
      </c>
      <c r="U4" s="564"/>
      <c r="V4"/>
      <c r="W4"/>
      <c r="X4"/>
      <c r="Y4"/>
      <c r="Z4"/>
      <c r="AA4"/>
      <c r="AB4"/>
    </row>
    <row r="5" spans="1:31" s="5" customFormat="1" x14ac:dyDescent="0.2">
      <c r="A5" s="106"/>
      <c r="B5" s="4"/>
      <c r="C5" s="54">
        <v>15</v>
      </c>
      <c r="E5" s="589" t="str">
        <f>'Chart Review Info'!C28</f>
        <v>N/A</v>
      </c>
      <c r="F5" s="590"/>
      <c r="G5" s="591"/>
      <c r="H5"/>
      <c r="I5" s="152">
        <f>Consum_15</f>
        <v>0</v>
      </c>
      <c r="J5" s="98"/>
      <c r="K5" s="293">
        <f>'Chart Review Info'!G4</f>
        <v>0</v>
      </c>
      <c r="L5" s="102" t="s">
        <v>261</v>
      </c>
      <c r="M5" s="293">
        <f>'Chart Review Info'!G5</f>
        <v>0</v>
      </c>
      <c r="O5" s="54">
        <f>'Chart Review Info'!G28</f>
        <v>0</v>
      </c>
      <c r="P5"/>
      <c r="Q5"/>
      <c r="R5"/>
      <c r="S5"/>
      <c r="T5"/>
      <c r="V5"/>
      <c r="W5"/>
      <c r="X5"/>
      <c r="Y5" s="6" t="s">
        <v>514</v>
      </c>
      <c r="Z5"/>
      <c r="AA5"/>
      <c r="AB5"/>
    </row>
    <row r="6" spans="1:31" x14ac:dyDescent="0.2">
      <c r="C6" s="154"/>
      <c r="D6" s="158"/>
      <c r="E6" s="155"/>
      <c r="F6" s="155"/>
      <c r="G6" s="155"/>
      <c r="H6" s="155"/>
      <c r="I6" s="155"/>
      <c r="J6" s="155"/>
      <c r="K6" s="155"/>
      <c r="L6" s="155"/>
      <c r="M6" s="155"/>
      <c r="N6" s="155"/>
      <c r="O6" s="155"/>
      <c r="P6" s="155"/>
      <c r="Q6" s="155"/>
      <c r="R6" s="155"/>
      <c r="T6" s="1"/>
      <c r="W6" s="51"/>
      <c r="Y6" s="329">
        <f>SUM(Y9:Y16)</f>
        <v>0</v>
      </c>
      <c r="AA6" s="13"/>
      <c r="AB6" s="13"/>
    </row>
    <row r="7" spans="1:31" ht="23.25" x14ac:dyDescent="0.25">
      <c r="C7" s="89" t="s">
        <v>262</v>
      </c>
      <c r="D7" s="159"/>
      <c r="E7" s="90"/>
      <c r="F7" s="90"/>
      <c r="G7" s="90"/>
      <c r="H7" s="90"/>
      <c r="I7" s="90"/>
      <c r="J7" s="90"/>
      <c r="K7" s="90"/>
      <c r="L7" s="90"/>
      <c r="M7" s="90"/>
      <c r="N7" s="90"/>
      <c r="O7" s="90"/>
      <c r="P7" s="90"/>
      <c r="S7" s="20"/>
      <c r="T7" s="21"/>
      <c r="U7" s="21"/>
      <c r="V7" s="21"/>
      <c r="W7" s="21"/>
      <c r="X7" s="160" t="s">
        <v>263</v>
      </c>
      <c r="Y7" s="160"/>
      <c r="Z7" s="160"/>
      <c r="AA7" s="22"/>
      <c r="AB7" s="23"/>
    </row>
    <row r="8" spans="1:31" ht="27" customHeight="1" x14ac:dyDescent="0.25">
      <c r="C8" s="91" t="s">
        <v>264</v>
      </c>
      <c r="D8" s="588" t="s">
        <v>68</v>
      </c>
      <c r="E8" s="574"/>
      <c r="F8" s="574"/>
      <c r="G8" s="574"/>
      <c r="H8" s="574"/>
      <c r="I8" s="574"/>
      <c r="J8" s="574"/>
      <c r="K8" s="574"/>
      <c r="L8" s="574"/>
      <c r="M8" s="574"/>
      <c r="N8" s="574"/>
      <c r="O8" s="92" t="s">
        <v>265</v>
      </c>
      <c r="P8" s="92" t="s">
        <v>266</v>
      </c>
      <c r="Q8" s="359"/>
      <c r="R8" s="351"/>
      <c r="S8" s="7" t="s">
        <v>449</v>
      </c>
      <c r="T8" s="9" t="s">
        <v>87</v>
      </c>
      <c r="U8" s="7" t="s">
        <v>88</v>
      </c>
      <c r="V8" s="7" t="s">
        <v>89</v>
      </c>
      <c r="W8" s="7" t="s">
        <v>90</v>
      </c>
      <c r="X8" s="7" t="s">
        <v>644</v>
      </c>
      <c r="Y8" s="8" t="s">
        <v>201</v>
      </c>
      <c r="Z8" s="116" t="s">
        <v>91</v>
      </c>
      <c r="AA8" s="117" t="s">
        <v>95</v>
      </c>
      <c r="AB8" s="117" t="s">
        <v>92</v>
      </c>
    </row>
    <row r="9" spans="1:31" ht="60" customHeight="1" x14ac:dyDescent="0.2">
      <c r="A9" s="212" t="s">
        <v>73</v>
      </c>
      <c r="B9" s="93"/>
      <c r="C9" s="94" t="s">
        <v>204</v>
      </c>
      <c r="D9" s="567" t="s">
        <v>658</v>
      </c>
      <c r="E9" s="470"/>
      <c r="F9" s="470"/>
      <c r="G9" s="470"/>
      <c r="H9" s="470"/>
      <c r="I9" s="470"/>
      <c r="J9" s="470"/>
      <c r="K9" s="470"/>
      <c r="L9" s="470"/>
      <c r="M9" s="470"/>
      <c r="N9" s="471"/>
      <c r="O9" s="71"/>
      <c r="P9" s="95" t="str">
        <f t="shared" ref="P9:P12" si="0">IF(O9="","",IF(O9="Yes","Pass",IF(O9="No","Fail","N/A")))</f>
        <v/>
      </c>
      <c r="Q9" s="173"/>
      <c r="R9" s="173"/>
      <c r="S9" s="124"/>
      <c r="T9" s="125"/>
      <c r="U9" s="125"/>
      <c r="V9" s="125"/>
      <c r="W9" s="126"/>
      <c r="X9" s="125"/>
      <c r="Y9" s="127"/>
      <c r="Z9" s="128"/>
      <c r="AA9" s="129"/>
      <c r="AB9" s="130"/>
      <c r="AC9" s="96"/>
      <c r="AD9" s="96"/>
      <c r="AE9" s="96"/>
    </row>
    <row r="10" spans="1:31" ht="87" customHeight="1" x14ac:dyDescent="0.2">
      <c r="A10" s="107">
        <v>1</v>
      </c>
      <c r="B10" s="93"/>
      <c r="C10" s="94" t="s">
        <v>205</v>
      </c>
      <c r="D10" s="567" t="s">
        <v>528</v>
      </c>
      <c r="E10" s="586"/>
      <c r="F10" s="586"/>
      <c r="G10" s="586"/>
      <c r="H10" s="586"/>
      <c r="I10" s="586"/>
      <c r="J10" s="586"/>
      <c r="K10" s="586"/>
      <c r="L10" s="586"/>
      <c r="M10" s="586"/>
      <c r="N10" s="587"/>
      <c r="O10" s="71"/>
      <c r="P10" s="95" t="str">
        <f t="shared" si="0"/>
        <v/>
      </c>
      <c r="Q10" s="173"/>
      <c r="R10" s="173"/>
      <c r="S10" s="124"/>
      <c r="T10" s="124"/>
      <c r="U10" s="124"/>
      <c r="V10" s="125"/>
      <c r="W10" s="131"/>
      <c r="X10" s="124"/>
      <c r="Y10" s="127"/>
      <c r="Z10" s="128"/>
      <c r="AA10" s="129"/>
      <c r="AB10" s="129"/>
    </row>
    <row r="11" spans="1:31" ht="50.25" customHeight="1" x14ac:dyDescent="0.2">
      <c r="A11" s="107" t="s">
        <v>70</v>
      </c>
      <c r="B11" s="93"/>
      <c r="C11" s="94" t="s">
        <v>206</v>
      </c>
      <c r="D11" s="567" t="s">
        <v>529</v>
      </c>
      <c r="E11" s="586"/>
      <c r="F11" s="586"/>
      <c r="G11" s="586"/>
      <c r="H11" s="586"/>
      <c r="I11" s="586"/>
      <c r="J11" s="586"/>
      <c r="K11" s="586"/>
      <c r="L11" s="586"/>
      <c r="M11" s="586"/>
      <c r="N11" s="587"/>
      <c r="O11" s="71"/>
      <c r="P11" s="95" t="str">
        <f t="shared" si="0"/>
        <v/>
      </c>
      <c r="Q11" s="173"/>
      <c r="R11" s="173"/>
      <c r="S11" s="124"/>
      <c r="T11" s="124"/>
      <c r="U11" s="124"/>
      <c r="V11" s="125"/>
      <c r="W11" s="131"/>
      <c r="X11" s="124"/>
      <c r="Y11" s="127"/>
      <c r="Z11" s="128"/>
      <c r="AA11" s="129"/>
      <c r="AB11" s="129"/>
    </row>
    <row r="12" spans="1:31" ht="33.75" customHeight="1" x14ac:dyDescent="0.2">
      <c r="A12" s="106">
        <v>1</v>
      </c>
      <c r="C12" s="94" t="s">
        <v>207</v>
      </c>
      <c r="D12" s="567" t="s">
        <v>659</v>
      </c>
      <c r="E12" s="586"/>
      <c r="F12" s="586"/>
      <c r="G12" s="586"/>
      <c r="H12" s="586"/>
      <c r="I12" s="586"/>
      <c r="J12" s="586"/>
      <c r="K12" s="586"/>
      <c r="L12" s="586"/>
      <c r="M12" s="586"/>
      <c r="N12" s="587"/>
      <c r="O12" s="71"/>
      <c r="P12" s="95" t="str">
        <f t="shared" si="0"/>
        <v/>
      </c>
      <c r="Q12" s="173"/>
      <c r="R12" s="173"/>
      <c r="S12" s="124"/>
      <c r="T12" s="124"/>
      <c r="U12" s="124"/>
      <c r="V12" s="125"/>
      <c r="W12" s="131"/>
      <c r="X12" s="124"/>
      <c r="Y12" s="127"/>
      <c r="Z12" s="128"/>
      <c r="AA12" s="129"/>
      <c r="AB12" s="129"/>
    </row>
    <row r="13" spans="1:31" ht="36" customHeight="1" x14ac:dyDescent="0.2">
      <c r="A13" s="107">
        <v>1</v>
      </c>
      <c r="B13" s="93"/>
      <c r="C13" s="97" t="s">
        <v>208</v>
      </c>
      <c r="D13" s="567" t="s">
        <v>656</v>
      </c>
      <c r="E13" s="470"/>
      <c r="F13" s="470"/>
      <c r="G13" s="470"/>
      <c r="H13" s="470"/>
      <c r="I13" s="470"/>
      <c r="J13" s="470"/>
      <c r="K13" s="470"/>
      <c r="L13" s="470"/>
      <c r="M13" s="470"/>
      <c r="N13" s="471"/>
      <c r="O13" s="71"/>
      <c r="P13" s="95" t="str">
        <f t="shared" ref="P13:P19" si="1">IF(O13="","",IF(O13="Yes","Pass",IF(O13="No","Fail","N/A")))</f>
        <v/>
      </c>
      <c r="Q13" s="173"/>
      <c r="R13" s="173"/>
      <c r="S13" s="124"/>
      <c r="T13" s="124"/>
      <c r="U13" s="124"/>
      <c r="V13" s="125"/>
      <c r="W13" s="131"/>
      <c r="X13" s="124"/>
      <c r="Y13" s="127"/>
      <c r="Z13" s="128"/>
      <c r="AA13" s="129"/>
      <c r="AB13" s="129"/>
    </row>
    <row r="14" spans="1:31" ht="46.5" customHeight="1" x14ac:dyDescent="0.2">
      <c r="A14" s="107" t="s">
        <v>70</v>
      </c>
      <c r="B14" s="93"/>
      <c r="C14" s="97" t="s">
        <v>209</v>
      </c>
      <c r="D14" s="567" t="s">
        <v>530</v>
      </c>
      <c r="E14" s="586"/>
      <c r="F14" s="586"/>
      <c r="G14" s="586"/>
      <c r="H14" s="586"/>
      <c r="I14" s="586"/>
      <c r="J14" s="586"/>
      <c r="K14" s="586"/>
      <c r="L14" s="586"/>
      <c r="M14" s="586"/>
      <c r="N14" s="587"/>
      <c r="O14" s="71"/>
      <c r="P14" s="95" t="str">
        <f t="shared" si="1"/>
        <v/>
      </c>
      <c r="Q14" s="173"/>
      <c r="R14" s="173"/>
      <c r="S14" s="124"/>
      <c r="T14" s="124"/>
      <c r="U14" s="124"/>
      <c r="V14" s="125"/>
      <c r="W14" s="131"/>
      <c r="X14" s="124"/>
      <c r="Y14" s="127"/>
      <c r="Z14" s="128"/>
      <c r="AA14" s="129"/>
      <c r="AB14" s="129"/>
    </row>
    <row r="15" spans="1:31" ht="49.5" customHeight="1" x14ac:dyDescent="0.2">
      <c r="A15" s="107">
        <v>1</v>
      </c>
      <c r="B15" s="93"/>
      <c r="C15" s="94" t="s">
        <v>210</v>
      </c>
      <c r="D15" s="567" t="s">
        <v>531</v>
      </c>
      <c r="E15" s="586"/>
      <c r="F15" s="586"/>
      <c r="G15" s="586"/>
      <c r="H15" s="586"/>
      <c r="I15" s="586"/>
      <c r="J15" s="586"/>
      <c r="K15" s="586"/>
      <c r="L15" s="586"/>
      <c r="M15" s="586"/>
      <c r="N15" s="587"/>
      <c r="O15" s="71"/>
      <c r="P15" s="95" t="str">
        <f t="shared" si="1"/>
        <v/>
      </c>
      <c r="Q15" s="173"/>
      <c r="R15" s="173"/>
      <c r="S15" s="124"/>
      <c r="T15" s="124"/>
      <c r="U15" s="124"/>
      <c r="V15" s="125"/>
      <c r="W15" s="131"/>
      <c r="X15" s="124"/>
      <c r="Y15" s="127"/>
      <c r="Z15" s="128"/>
      <c r="AA15" s="129"/>
      <c r="AB15" s="129"/>
    </row>
    <row r="16" spans="1:31" ht="66.75" customHeight="1" x14ac:dyDescent="0.2">
      <c r="A16" s="106">
        <v>1</v>
      </c>
      <c r="C16" s="97" t="s">
        <v>211</v>
      </c>
      <c r="D16" s="567" t="s">
        <v>532</v>
      </c>
      <c r="E16" s="586"/>
      <c r="F16" s="586"/>
      <c r="G16" s="586"/>
      <c r="H16" s="586"/>
      <c r="I16" s="586"/>
      <c r="J16" s="586"/>
      <c r="K16" s="586"/>
      <c r="L16" s="586"/>
      <c r="M16" s="586"/>
      <c r="N16" s="587"/>
      <c r="O16" s="71"/>
      <c r="P16" s="95" t="str">
        <f t="shared" si="1"/>
        <v/>
      </c>
      <c r="Q16" s="173"/>
      <c r="R16" s="173"/>
      <c r="S16" s="124"/>
      <c r="T16" s="124"/>
      <c r="U16" s="124"/>
      <c r="V16" s="125"/>
      <c r="W16" s="131"/>
      <c r="X16" s="124"/>
      <c r="Y16" s="127"/>
      <c r="Z16" s="128"/>
      <c r="AA16" s="129"/>
      <c r="AB16" s="129"/>
    </row>
    <row r="17" spans="1:28" ht="39" customHeight="1" x14ac:dyDescent="0.2">
      <c r="A17" s="107" t="s">
        <v>70</v>
      </c>
      <c r="B17" s="93"/>
      <c r="C17" s="97" t="s">
        <v>212</v>
      </c>
      <c r="D17" s="567" t="s">
        <v>533</v>
      </c>
      <c r="E17" s="586"/>
      <c r="F17" s="586"/>
      <c r="G17" s="586"/>
      <c r="H17" s="586"/>
      <c r="I17" s="586"/>
      <c r="J17" s="586"/>
      <c r="K17" s="586"/>
      <c r="L17" s="586"/>
      <c r="M17" s="586"/>
      <c r="N17" s="587"/>
      <c r="O17" s="71"/>
      <c r="P17" s="95" t="str">
        <f t="shared" si="1"/>
        <v/>
      </c>
      <c r="Q17" s="173"/>
      <c r="R17" s="173"/>
      <c r="S17" s="124"/>
      <c r="T17" s="124"/>
      <c r="U17" s="124"/>
      <c r="V17" s="125"/>
      <c r="W17" s="131"/>
      <c r="X17" s="124"/>
      <c r="Y17" s="127"/>
      <c r="Z17" s="128"/>
      <c r="AA17" s="129"/>
      <c r="AB17" s="129"/>
    </row>
    <row r="18" spans="1:28" ht="83.25" customHeight="1" x14ac:dyDescent="0.2">
      <c r="A18" s="107" t="s">
        <v>70</v>
      </c>
      <c r="B18" s="93"/>
      <c r="C18" s="94" t="s">
        <v>657</v>
      </c>
      <c r="D18" s="567" t="s">
        <v>534</v>
      </c>
      <c r="E18" s="586"/>
      <c r="F18" s="586"/>
      <c r="G18" s="586"/>
      <c r="H18" s="586"/>
      <c r="I18" s="586"/>
      <c r="J18" s="586"/>
      <c r="K18" s="586"/>
      <c r="L18" s="586"/>
      <c r="M18" s="586"/>
      <c r="N18" s="587"/>
      <c r="O18" s="71"/>
      <c r="P18" s="95" t="str">
        <f t="shared" si="1"/>
        <v/>
      </c>
      <c r="Q18" s="173"/>
      <c r="R18" s="173"/>
      <c r="S18" s="124"/>
      <c r="T18" s="124"/>
      <c r="U18" s="124"/>
      <c r="V18" s="125"/>
      <c r="W18" s="131"/>
      <c r="X18" s="124"/>
      <c r="Y18" s="127"/>
      <c r="Z18" s="128"/>
      <c r="AA18" s="129"/>
      <c r="AB18" s="129"/>
    </row>
    <row r="19" spans="1:28" ht="47.25" customHeight="1" x14ac:dyDescent="0.2">
      <c r="A19" s="107" t="s">
        <v>81</v>
      </c>
      <c r="B19" s="93"/>
      <c r="C19" s="391" t="s">
        <v>213</v>
      </c>
      <c r="D19" s="571" t="s">
        <v>535</v>
      </c>
      <c r="E19" s="572"/>
      <c r="F19" s="572"/>
      <c r="G19" s="572"/>
      <c r="H19" s="572"/>
      <c r="I19" s="572"/>
      <c r="J19" s="572"/>
      <c r="K19" s="572"/>
      <c r="L19" s="572"/>
      <c r="M19" s="572"/>
      <c r="N19" s="572"/>
      <c r="O19" s="71"/>
      <c r="P19" s="95" t="str">
        <f t="shared" si="1"/>
        <v/>
      </c>
      <c r="Q19" s="173"/>
      <c r="R19" s="173"/>
      <c r="S19" s="124"/>
      <c r="T19" s="124"/>
      <c r="U19" s="124"/>
      <c r="V19" s="125"/>
      <c r="W19" s="131"/>
      <c r="X19" s="124"/>
      <c r="Y19" s="127"/>
      <c r="Z19" s="128"/>
      <c r="AA19" s="129"/>
      <c r="AB19" s="129"/>
    </row>
    <row r="20" spans="1:28" ht="22.5" customHeight="1" x14ac:dyDescent="0.2">
      <c r="A20" s="106">
        <v>1</v>
      </c>
      <c r="B20" s="93"/>
      <c r="C20" s="575" t="s">
        <v>267</v>
      </c>
      <c r="D20" s="470"/>
      <c r="E20" s="470"/>
      <c r="F20" s="470"/>
      <c r="G20" s="470"/>
      <c r="H20" s="470"/>
      <c r="I20" s="470"/>
      <c r="J20" s="470"/>
      <c r="K20" s="470"/>
      <c r="L20" s="470"/>
      <c r="M20" s="470"/>
      <c r="N20" s="470"/>
      <c r="O20"/>
      <c r="P20" s="392"/>
      <c r="Q20" s="174"/>
      <c r="R20" s="174"/>
      <c r="S20" s="124"/>
      <c r="T20" s="124"/>
      <c r="U20" s="124"/>
      <c r="V20" s="125"/>
      <c r="W20" s="131"/>
      <c r="X20" s="124"/>
      <c r="Y20" s="127"/>
      <c r="Z20" s="128"/>
      <c r="AA20" s="129"/>
      <c r="AB20" s="129"/>
    </row>
    <row r="21" spans="1:28" ht="30.75" customHeight="1" x14ac:dyDescent="0.2">
      <c r="A21" s="107" t="s">
        <v>73</v>
      </c>
      <c r="C21" s="581" t="s">
        <v>17</v>
      </c>
      <c r="D21" s="470"/>
      <c r="E21" s="470"/>
      <c r="F21" s="470"/>
      <c r="G21" s="470"/>
      <c r="H21" s="470"/>
      <c r="I21" s="470"/>
      <c r="J21" s="470"/>
      <c r="K21" s="470"/>
      <c r="L21" s="470"/>
      <c r="M21" s="470"/>
      <c r="N21" s="471"/>
      <c r="O21" s="345"/>
      <c r="P21" s="343"/>
      <c r="Q21" s="172"/>
      <c r="R21" s="172"/>
      <c r="S21" s="124"/>
      <c r="T21" s="124"/>
      <c r="U21" s="124"/>
      <c r="V21" s="125"/>
      <c r="W21" s="131"/>
      <c r="X21" s="124"/>
      <c r="Y21" s="132"/>
      <c r="Z21" s="128"/>
      <c r="AA21" s="129"/>
      <c r="AB21" s="129"/>
    </row>
    <row r="22" spans="1:28" ht="18" customHeight="1" x14ac:dyDescent="0.25">
      <c r="C22" s="100" t="s">
        <v>264</v>
      </c>
      <c r="D22" s="573" t="s">
        <v>71</v>
      </c>
      <c r="E22" s="574"/>
      <c r="F22" s="574"/>
      <c r="G22" s="574"/>
      <c r="H22" s="574"/>
      <c r="I22" s="574"/>
      <c r="J22" s="574"/>
      <c r="K22" s="574"/>
      <c r="L22" s="574"/>
      <c r="M22" s="574"/>
      <c r="N22" s="440"/>
      <c r="O22" s="101" t="s">
        <v>265</v>
      </c>
      <c r="P22" s="101" t="s">
        <v>266</v>
      </c>
      <c r="Q22" s="359"/>
      <c r="R22" s="175"/>
      <c r="S22" s="124"/>
      <c r="T22" s="124"/>
      <c r="U22" s="124"/>
      <c r="V22" s="125"/>
      <c r="W22" s="131"/>
      <c r="X22" s="124"/>
      <c r="Y22" s="127"/>
      <c r="Z22" s="128"/>
      <c r="AA22" s="129"/>
      <c r="AB22" s="129"/>
    </row>
    <row r="23" spans="1:28" ht="18" customHeight="1" x14ac:dyDescent="0.2">
      <c r="A23" s="106">
        <v>1</v>
      </c>
      <c r="C23" s="102" t="s">
        <v>215</v>
      </c>
      <c r="D23" s="567" t="s">
        <v>268</v>
      </c>
      <c r="E23" s="470"/>
      <c r="F23" s="470"/>
      <c r="G23" s="470"/>
      <c r="H23" s="470"/>
      <c r="I23" s="470"/>
      <c r="J23" s="470"/>
      <c r="K23" s="470"/>
      <c r="L23" s="470"/>
      <c r="M23" s="470"/>
      <c r="N23" s="471"/>
      <c r="O23" s="71"/>
      <c r="P23" s="95" t="str">
        <f>IF(O23="","",IF(O23="Yes","Pass",IF(O23="No","Fail","N/A")))</f>
        <v/>
      </c>
      <c r="Q23" s="173"/>
      <c r="R23" s="173"/>
      <c r="S23" s="124"/>
      <c r="T23" s="124"/>
      <c r="U23" s="124"/>
      <c r="V23" s="125"/>
      <c r="W23" s="131"/>
      <c r="X23" s="124"/>
      <c r="Y23" s="127"/>
      <c r="Z23" s="128"/>
      <c r="AA23" s="129"/>
      <c r="AB23" s="129"/>
    </row>
    <row r="24" spans="1:28" ht="45" customHeight="1" x14ac:dyDescent="0.2">
      <c r="A24" s="107" t="s">
        <v>69</v>
      </c>
      <c r="C24" s="97" t="s">
        <v>216</v>
      </c>
      <c r="D24" s="567" t="s">
        <v>269</v>
      </c>
      <c r="E24" s="470"/>
      <c r="F24" s="470"/>
      <c r="G24" s="470"/>
      <c r="H24" s="470"/>
      <c r="I24" s="470"/>
      <c r="J24" s="470"/>
      <c r="K24" s="470"/>
      <c r="L24" s="470"/>
      <c r="M24" s="470"/>
      <c r="N24" s="471"/>
      <c r="O24" s="71"/>
      <c r="P24" s="95" t="str">
        <f>IF(O24="","",IF(O24="Yes","Pass",IF(O24="No","Fail","N/A")))</f>
        <v/>
      </c>
      <c r="Q24" s="173"/>
      <c r="R24" s="173"/>
      <c r="S24" s="124"/>
      <c r="T24" s="124"/>
      <c r="U24" s="124"/>
      <c r="V24" s="125"/>
      <c r="W24" s="131"/>
      <c r="X24" s="124"/>
      <c r="Y24" s="127"/>
      <c r="Z24" s="128"/>
      <c r="AA24" s="129"/>
      <c r="AB24" s="129"/>
    </row>
    <row r="25" spans="1:28" ht="45" customHeight="1" x14ac:dyDescent="0.2">
      <c r="A25" s="107" t="s">
        <v>69</v>
      </c>
      <c r="B25" s="93"/>
      <c r="C25" s="97" t="s">
        <v>217</v>
      </c>
      <c r="D25" s="567" t="s">
        <v>270</v>
      </c>
      <c r="E25" s="470"/>
      <c r="F25" s="470"/>
      <c r="G25" s="470"/>
      <c r="H25" s="470"/>
      <c r="I25" s="470"/>
      <c r="J25" s="470"/>
      <c r="K25" s="470"/>
      <c r="L25" s="470"/>
      <c r="M25" s="470"/>
      <c r="N25" s="471"/>
      <c r="O25" s="71"/>
      <c r="P25" s="95" t="str">
        <f>IF(O25="","",IF(O25="Yes","Pass",IF(O25="No","Fail","N/A")))</f>
        <v/>
      </c>
      <c r="Q25" s="173"/>
      <c r="R25" s="173"/>
      <c r="S25" s="124"/>
      <c r="T25" s="124"/>
      <c r="U25" s="124"/>
      <c r="V25" s="125"/>
      <c r="W25" s="131"/>
      <c r="X25" s="124"/>
      <c r="Y25" s="127"/>
      <c r="Z25" s="128"/>
      <c r="AA25" s="129"/>
      <c r="AB25" s="129"/>
    </row>
    <row r="26" spans="1:28" ht="51.75" customHeight="1" x14ac:dyDescent="0.2">
      <c r="A26" s="107" t="s">
        <v>69</v>
      </c>
      <c r="B26" s="93"/>
      <c r="C26" s="97" t="s">
        <v>218</v>
      </c>
      <c r="D26" s="567" t="s">
        <v>271</v>
      </c>
      <c r="E26" s="470"/>
      <c r="F26" s="470"/>
      <c r="G26" s="470"/>
      <c r="H26" s="470"/>
      <c r="I26" s="470"/>
      <c r="J26" s="470"/>
      <c r="K26" s="470"/>
      <c r="L26" s="470"/>
      <c r="M26" s="470"/>
      <c r="N26" s="470"/>
      <c r="O26" s="71"/>
      <c r="P26" s="95" t="str">
        <f>IF(O26="","",IF(O26="Yes","Pass",IF(O26="No","Fail","N/A")))</f>
        <v/>
      </c>
      <c r="Q26" s="173"/>
      <c r="R26" s="173"/>
      <c r="S26" s="124"/>
      <c r="T26" s="124"/>
      <c r="U26" s="124"/>
      <c r="V26" s="125"/>
      <c r="W26" s="131"/>
      <c r="X26" s="124"/>
      <c r="Y26" s="127"/>
      <c r="Z26" s="128"/>
      <c r="AA26" s="129"/>
      <c r="AB26" s="129"/>
    </row>
    <row r="27" spans="1:28" ht="22.5" customHeight="1" x14ac:dyDescent="0.2">
      <c r="A27" s="106">
        <v>1</v>
      </c>
      <c r="B27" s="93"/>
      <c r="C27" s="580" t="s">
        <v>272</v>
      </c>
      <c r="D27" s="470"/>
      <c r="E27" s="470"/>
      <c r="F27" s="470"/>
      <c r="G27" s="470"/>
      <c r="H27" s="470"/>
      <c r="I27" s="470"/>
      <c r="J27" s="470"/>
      <c r="K27" s="470"/>
      <c r="L27" s="470"/>
      <c r="M27" s="470"/>
      <c r="N27" s="470"/>
      <c r="O27" s="341"/>
      <c r="Q27" s="123"/>
      <c r="R27" s="123"/>
      <c r="S27" s="124"/>
      <c r="T27" s="124"/>
      <c r="U27" s="124"/>
      <c r="V27" s="125"/>
      <c r="W27" s="131"/>
      <c r="X27" s="124"/>
      <c r="Y27" s="127"/>
      <c r="Z27" s="128"/>
      <c r="AA27" s="129"/>
      <c r="AB27" s="129"/>
    </row>
    <row r="28" spans="1:28" ht="29.25" customHeight="1" x14ac:dyDescent="0.2">
      <c r="A28" s="107" t="s">
        <v>73</v>
      </c>
      <c r="C28" s="581" t="s">
        <v>17</v>
      </c>
      <c r="D28" s="470"/>
      <c r="E28" s="470"/>
      <c r="F28" s="470"/>
      <c r="G28" s="470"/>
      <c r="H28" s="470"/>
      <c r="I28" s="470"/>
      <c r="J28" s="470"/>
      <c r="K28" s="470"/>
      <c r="L28" s="470"/>
      <c r="M28" s="470"/>
      <c r="N28" s="470"/>
      <c r="O28" s="345"/>
      <c r="P28" s="340"/>
      <c r="Q28" s="123"/>
      <c r="R28" s="123"/>
      <c r="S28" s="124"/>
      <c r="T28" s="124"/>
      <c r="U28" s="124"/>
      <c r="V28" s="125"/>
      <c r="W28" s="131"/>
      <c r="X28" s="133"/>
      <c r="Y28" s="132"/>
      <c r="Z28" s="128"/>
      <c r="AA28" s="129"/>
      <c r="AB28" s="129"/>
    </row>
    <row r="29" spans="1:28" ht="24" customHeight="1" x14ac:dyDescent="0.25">
      <c r="C29" s="100" t="s">
        <v>264</v>
      </c>
      <c r="D29" s="573" t="s">
        <v>465</v>
      </c>
      <c r="E29" s="574"/>
      <c r="F29" s="574"/>
      <c r="G29" s="574"/>
      <c r="H29" s="574"/>
      <c r="I29" s="574"/>
      <c r="J29" s="574"/>
      <c r="K29" s="574"/>
      <c r="L29" s="574"/>
      <c r="M29" s="574"/>
      <c r="N29" s="574"/>
      <c r="O29" s="101" t="s">
        <v>265</v>
      </c>
      <c r="P29" s="101" t="s">
        <v>266</v>
      </c>
      <c r="Q29" s="359"/>
      <c r="R29" s="175"/>
      <c r="S29" s="124"/>
      <c r="T29" s="124"/>
      <c r="U29" s="124"/>
      <c r="V29" s="125"/>
      <c r="W29" s="131"/>
      <c r="X29" s="133"/>
      <c r="Y29" s="132"/>
      <c r="Z29" s="128"/>
      <c r="AA29" s="129"/>
      <c r="AB29" s="129"/>
    </row>
    <row r="30" spans="1:28" ht="66" customHeight="1" x14ac:dyDescent="0.2">
      <c r="A30" s="107" t="s">
        <v>69</v>
      </c>
      <c r="C30" s="102" t="s">
        <v>466</v>
      </c>
      <c r="D30" s="567" t="s">
        <v>467</v>
      </c>
      <c r="E30" s="572"/>
      <c r="F30" s="572"/>
      <c r="G30" s="572"/>
      <c r="H30" s="572"/>
      <c r="I30" s="572"/>
      <c r="J30" s="572"/>
      <c r="K30" s="572"/>
      <c r="L30" s="572"/>
      <c r="M30" s="572"/>
      <c r="N30" s="572"/>
      <c r="O30" s="71"/>
      <c r="P30" s="95" t="str">
        <f t="shared" ref="P30:P31" si="2">IF(O30="","",IF(O30="Yes","Pass",IF(O30="No","Fail","N/A")))</f>
        <v/>
      </c>
      <c r="Q30" s="173"/>
      <c r="R30" s="173"/>
      <c r="S30" s="124"/>
      <c r="T30" s="124"/>
      <c r="U30" s="124"/>
      <c r="V30" s="125"/>
      <c r="W30" s="131"/>
      <c r="X30" s="133"/>
      <c r="Y30" s="132"/>
      <c r="Z30" s="128"/>
      <c r="AA30" s="129"/>
      <c r="AB30" s="129"/>
    </row>
    <row r="31" spans="1:28" ht="33.75" customHeight="1" x14ac:dyDescent="0.2">
      <c r="A31" s="107" t="s">
        <v>73</v>
      </c>
      <c r="B31" s="93"/>
      <c r="C31" s="102" t="s">
        <v>471</v>
      </c>
      <c r="D31" s="579" t="s">
        <v>468</v>
      </c>
      <c r="E31" s="572"/>
      <c r="F31" s="572"/>
      <c r="G31" s="572"/>
      <c r="H31" s="572"/>
      <c r="I31" s="572"/>
      <c r="J31" s="572"/>
      <c r="K31" s="572"/>
      <c r="L31" s="572"/>
      <c r="M31" s="572"/>
      <c r="N31" s="572"/>
      <c r="O31" s="71"/>
      <c r="P31" s="95" t="str">
        <f t="shared" si="2"/>
        <v/>
      </c>
      <c r="Q31" s="173"/>
      <c r="R31" s="173"/>
      <c r="S31" s="124"/>
      <c r="T31" s="124"/>
      <c r="U31" s="124"/>
      <c r="V31" s="125"/>
      <c r="W31" s="131"/>
      <c r="X31" s="133"/>
      <c r="Y31" s="132"/>
      <c r="Z31" s="128"/>
      <c r="AA31" s="129"/>
      <c r="AB31" s="129"/>
    </row>
    <row r="32" spans="1:28" ht="45" customHeight="1" x14ac:dyDescent="0.2">
      <c r="A32" s="107" t="s">
        <v>69</v>
      </c>
      <c r="B32" s="93"/>
      <c r="C32" s="102" t="s">
        <v>472</v>
      </c>
      <c r="D32" s="579" t="s">
        <v>469</v>
      </c>
      <c r="E32" s="572"/>
      <c r="F32" s="572"/>
      <c r="G32" s="572"/>
      <c r="H32" s="572"/>
      <c r="I32" s="572"/>
      <c r="J32" s="572"/>
      <c r="K32" s="572"/>
      <c r="L32" s="572"/>
      <c r="M32" s="572"/>
      <c r="N32" s="572"/>
      <c r="O32" s="71"/>
      <c r="P32" s="95" t="str">
        <f>IF(O32="","",IF(O32="Yes","Pass",IF(O32="No","Fail","N/A")))</f>
        <v/>
      </c>
      <c r="Q32" s="173"/>
      <c r="R32" s="173"/>
      <c r="S32" s="124"/>
      <c r="T32" s="124"/>
      <c r="U32" s="124"/>
      <c r="V32" s="125"/>
      <c r="W32" s="131"/>
      <c r="X32" s="133"/>
      <c r="Y32" s="132"/>
      <c r="Z32" s="128"/>
      <c r="AA32" s="129"/>
      <c r="AB32" s="129"/>
    </row>
    <row r="33" spans="1:28" ht="30" customHeight="1" x14ac:dyDescent="0.2">
      <c r="A33" s="107" t="s">
        <v>70</v>
      </c>
      <c r="B33" s="93"/>
      <c r="C33" s="102" t="s">
        <v>473</v>
      </c>
      <c r="D33" s="579" t="s">
        <v>470</v>
      </c>
      <c r="E33" s="572"/>
      <c r="F33" s="572"/>
      <c r="G33" s="572"/>
      <c r="H33" s="572"/>
      <c r="I33" s="572"/>
      <c r="J33" s="572"/>
      <c r="K33" s="572"/>
      <c r="L33" s="572"/>
      <c r="M33" s="572"/>
      <c r="N33" s="572"/>
      <c r="O33" s="71"/>
      <c r="P33" s="95" t="str">
        <f>IF(O33="","",IF(O33="Yes","Pass",IF(O33="No","Fail","N/A")))</f>
        <v/>
      </c>
      <c r="Q33" s="173"/>
      <c r="R33" s="173"/>
      <c r="S33" s="124"/>
      <c r="T33" s="124"/>
      <c r="U33" s="124"/>
      <c r="V33" s="125"/>
      <c r="W33" s="131"/>
      <c r="X33" s="133"/>
      <c r="Y33" s="132"/>
      <c r="Z33" s="128"/>
      <c r="AA33" s="129"/>
      <c r="AB33" s="129"/>
    </row>
    <row r="34" spans="1:28" ht="24" customHeight="1" x14ac:dyDescent="0.2">
      <c r="A34" s="107" t="s">
        <v>69</v>
      </c>
      <c r="B34" s="93"/>
      <c r="C34" s="580" t="s">
        <v>545</v>
      </c>
      <c r="D34" s="470"/>
      <c r="E34" s="470"/>
      <c r="F34" s="470"/>
      <c r="G34" s="470"/>
      <c r="H34" s="470"/>
      <c r="I34" s="470"/>
      <c r="J34" s="470"/>
      <c r="K34" s="470"/>
      <c r="L34" s="470"/>
      <c r="M34" s="470"/>
      <c r="N34" s="470"/>
      <c r="O34" s="341"/>
      <c r="Q34" s="359"/>
      <c r="S34" s="124"/>
      <c r="T34" s="124"/>
      <c r="U34" s="124"/>
      <c r="V34" s="125"/>
      <c r="W34" s="131"/>
      <c r="X34" s="133"/>
      <c r="Y34" s="132"/>
      <c r="Z34" s="128"/>
      <c r="AA34" s="129"/>
      <c r="AB34" s="129"/>
    </row>
    <row r="35" spans="1:28" ht="27.75" customHeight="1" x14ac:dyDescent="0.2">
      <c r="A35" s="107" t="s">
        <v>69</v>
      </c>
      <c r="B35" s="93"/>
      <c r="C35" s="581" t="s">
        <v>17</v>
      </c>
      <c r="D35" s="470"/>
      <c r="E35" s="470"/>
      <c r="F35" s="470"/>
      <c r="G35" s="470"/>
      <c r="H35" s="470"/>
      <c r="I35" s="470"/>
      <c r="J35" s="470"/>
      <c r="K35" s="470"/>
      <c r="L35" s="470"/>
      <c r="M35" s="470"/>
      <c r="N35" s="470"/>
      <c r="O35" s="345"/>
      <c r="Q35" s="173"/>
      <c r="R35"/>
      <c r="U35"/>
      <c r="V35"/>
      <c r="W35"/>
      <c r="X35"/>
      <c r="Y35"/>
      <c r="Z35"/>
      <c r="AA35"/>
      <c r="AB35"/>
    </row>
    <row r="36" spans="1:28" ht="24.75" customHeight="1" x14ac:dyDescent="0.25">
      <c r="A36" s="107" t="s">
        <v>70</v>
      </c>
      <c r="B36" s="93"/>
      <c r="C36" s="100" t="s">
        <v>264</v>
      </c>
      <c r="D36" s="573" t="s">
        <v>72</v>
      </c>
      <c r="E36" s="574"/>
      <c r="F36" s="574"/>
      <c r="G36" s="574"/>
      <c r="H36" s="574"/>
      <c r="I36" s="574"/>
      <c r="J36" s="574"/>
      <c r="K36" s="574"/>
      <c r="L36" s="574"/>
      <c r="M36" s="574"/>
      <c r="N36" s="440"/>
      <c r="O36" s="101" t="s">
        <v>265</v>
      </c>
      <c r="P36" s="101" t="s">
        <v>266</v>
      </c>
      <c r="Q36" s="173"/>
      <c r="R36"/>
      <c r="U36"/>
      <c r="V36"/>
      <c r="W36"/>
      <c r="X36"/>
      <c r="Y36"/>
      <c r="Z36"/>
      <c r="AA36"/>
      <c r="AB36"/>
    </row>
    <row r="37" spans="1:28" ht="31.5" customHeight="1" x14ac:dyDescent="0.2">
      <c r="A37" s="107" t="s">
        <v>73</v>
      </c>
      <c r="B37" s="93"/>
      <c r="C37" s="103" t="s">
        <v>220</v>
      </c>
      <c r="D37" s="445" t="s">
        <v>544</v>
      </c>
      <c r="E37" s="568"/>
      <c r="F37" s="568"/>
      <c r="G37" s="568"/>
      <c r="H37" s="568"/>
      <c r="I37" s="568"/>
      <c r="J37" s="568"/>
      <c r="K37" s="568"/>
      <c r="L37" s="568"/>
      <c r="M37" s="568"/>
      <c r="N37" s="569"/>
      <c r="O37" s="71"/>
      <c r="P37" s="95" t="str">
        <f>IF(O37="","",IF(O37="Yes","Pass",IF(O37="No","Fail","N/A")))</f>
        <v/>
      </c>
      <c r="Q37" s="173"/>
      <c r="R37"/>
      <c r="U37"/>
      <c r="V37"/>
      <c r="W37"/>
      <c r="X37"/>
      <c r="Y37"/>
      <c r="Z37"/>
      <c r="AA37"/>
      <c r="AB37"/>
    </row>
    <row r="38" spans="1:28" ht="30" customHeight="1" x14ac:dyDescent="0.2">
      <c r="A38" s="107" t="s">
        <v>70</v>
      </c>
      <c r="B38" s="93"/>
      <c r="C38" s="185"/>
      <c r="D38" s="296" t="s">
        <v>351</v>
      </c>
      <c r="E38" s="297"/>
      <c r="F38" s="298"/>
      <c r="G38" s="299"/>
      <c r="I38" s="300" t="s">
        <v>352</v>
      </c>
      <c r="J38" s="299"/>
      <c r="K38" s="301" t="s">
        <v>353</v>
      </c>
      <c r="L38" s="191"/>
      <c r="M38" s="302"/>
      <c r="N38" s="303" t="e">
        <f>J38/G38</f>
        <v>#DIV/0!</v>
      </c>
      <c r="Q38" s="173"/>
      <c r="R38"/>
      <c r="U38"/>
      <c r="V38"/>
      <c r="W38"/>
      <c r="X38"/>
      <c r="Y38"/>
      <c r="Z38"/>
      <c r="AA38"/>
      <c r="AB38"/>
    </row>
    <row r="39" spans="1:28" ht="38.25" customHeight="1" x14ac:dyDescent="0.2">
      <c r="A39" s="107" t="s">
        <v>73</v>
      </c>
      <c r="B39" s="93"/>
      <c r="C39" s="97" t="s">
        <v>133</v>
      </c>
      <c r="D39" s="579" t="s">
        <v>645</v>
      </c>
      <c r="E39" s="572"/>
      <c r="F39" s="572"/>
      <c r="G39" s="572"/>
      <c r="H39" s="572"/>
      <c r="I39" s="572"/>
      <c r="J39" s="572"/>
      <c r="K39" s="572"/>
      <c r="L39" s="572"/>
      <c r="M39" s="572"/>
      <c r="N39" s="572"/>
      <c r="O39" s="71"/>
      <c r="P39" s="95" t="str">
        <f t="shared" ref="P39:P49" si="3">IF(O39="","",IF(O39="Yes","Pass",IF(O39="No","Fail","N/A")))</f>
        <v/>
      </c>
      <c r="Q39" s="173"/>
      <c r="R39"/>
      <c r="U39"/>
      <c r="V39"/>
      <c r="W39"/>
      <c r="X39"/>
      <c r="Y39"/>
      <c r="Z39"/>
      <c r="AA39"/>
      <c r="AB39"/>
    </row>
    <row r="40" spans="1:28" ht="30" customHeight="1" x14ac:dyDescent="0.2">
      <c r="A40" s="107" t="s">
        <v>70</v>
      </c>
      <c r="B40" s="93"/>
      <c r="C40" s="97" t="s">
        <v>221</v>
      </c>
      <c r="D40" s="579" t="s">
        <v>536</v>
      </c>
      <c r="E40" s="470"/>
      <c r="F40" s="470"/>
      <c r="G40" s="470"/>
      <c r="H40" s="470"/>
      <c r="I40" s="470"/>
      <c r="J40" s="470"/>
      <c r="K40" s="470"/>
      <c r="L40" s="470"/>
      <c r="M40" s="470"/>
      <c r="N40" s="470"/>
      <c r="O40" s="71"/>
      <c r="P40" s="95" t="str">
        <f t="shared" si="3"/>
        <v/>
      </c>
      <c r="Q40" s="173"/>
      <c r="R40"/>
      <c r="U40"/>
      <c r="V40"/>
      <c r="W40"/>
      <c r="X40"/>
      <c r="Y40"/>
      <c r="Z40"/>
      <c r="AA40"/>
      <c r="AB40"/>
    </row>
    <row r="41" spans="1:28" ht="41.25" customHeight="1" x14ac:dyDescent="0.2">
      <c r="A41" s="107">
        <v>1</v>
      </c>
      <c r="B41" s="93"/>
      <c r="C41" s="103" t="s">
        <v>222</v>
      </c>
      <c r="D41" s="445" t="s">
        <v>537</v>
      </c>
      <c r="E41" s="568"/>
      <c r="F41" s="568"/>
      <c r="G41" s="568"/>
      <c r="H41" s="568"/>
      <c r="I41" s="568"/>
      <c r="J41" s="568"/>
      <c r="K41" s="568"/>
      <c r="L41" s="568"/>
      <c r="M41" s="568"/>
      <c r="N41" s="569"/>
      <c r="O41" s="71"/>
      <c r="P41" s="95" t="str">
        <f t="shared" si="3"/>
        <v/>
      </c>
      <c r="Q41" s="173"/>
      <c r="R41"/>
      <c r="U41"/>
      <c r="V41"/>
      <c r="W41"/>
      <c r="X41"/>
      <c r="Y41"/>
      <c r="Z41"/>
      <c r="AA41"/>
      <c r="AB41"/>
    </row>
    <row r="42" spans="1:28" ht="34.5" customHeight="1" x14ac:dyDescent="0.2">
      <c r="A42" s="107"/>
      <c r="B42" s="93"/>
      <c r="C42" s="97" t="s">
        <v>223</v>
      </c>
      <c r="D42" s="445" t="s">
        <v>538</v>
      </c>
      <c r="E42" s="568"/>
      <c r="F42" s="568"/>
      <c r="G42" s="568"/>
      <c r="H42" s="568"/>
      <c r="I42" s="568"/>
      <c r="J42" s="568"/>
      <c r="K42" s="568"/>
      <c r="L42" s="568"/>
      <c r="M42" s="568"/>
      <c r="N42" s="569"/>
      <c r="O42" s="71"/>
      <c r="P42" s="95" t="str">
        <f t="shared" si="3"/>
        <v/>
      </c>
      <c r="Q42" s="173"/>
      <c r="R42"/>
      <c r="U42"/>
      <c r="V42"/>
      <c r="W42"/>
      <c r="X42"/>
      <c r="Y42"/>
      <c r="Z42"/>
      <c r="AA42"/>
      <c r="AB42"/>
    </row>
    <row r="43" spans="1:28" ht="33" customHeight="1" x14ac:dyDescent="0.2">
      <c r="A43" s="106">
        <v>1</v>
      </c>
      <c r="B43" s="93"/>
      <c r="C43" s="97" t="s">
        <v>224</v>
      </c>
      <c r="D43" s="445" t="s">
        <v>273</v>
      </c>
      <c r="E43" s="568"/>
      <c r="F43" s="568"/>
      <c r="G43" s="568"/>
      <c r="H43" s="568"/>
      <c r="I43" s="568"/>
      <c r="J43" s="568"/>
      <c r="K43" s="568"/>
      <c r="L43" s="568"/>
      <c r="M43" s="568"/>
      <c r="N43" s="569"/>
      <c r="O43" s="71"/>
      <c r="P43" s="95" t="str">
        <f t="shared" si="3"/>
        <v/>
      </c>
      <c r="Q43" s="173"/>
      <c r="R43"/>
      <c r="U43"/>
      <c r="V43"/>
      <c r="W43"/>
      <c r="X43"/>
      <c r="Y43"/>
      <c r="Z43"/>
      <c r="AA43"/>
      <c r="AB43"/>
    </row>
    <row r="44" spans="1:28" ht="35.25" customHeight="1" x14ac:dyDescent="0.2">
      <c r="A44" s="107" t="s">
        <v>73</v>
      </c>
      <c r="C44" s="103" t="s">
        <v>225</v>
      </c>
      <c r="D44" s="567" t="s">
        <v>274</v>
      </c>
      <c r="E44" s="470"/>
      <c r="F44" s="470"/>
      <c r="G44" s="470"/>
      <c r="H44" s="470"/>
      <c r="I44" s="470"/>
      <c r="J44" s="470"/>
      <c r="K44" s="470"/>
      <c r="L44" s="470"/>
      <c r="M44" s="470"/>
      <c r="N44" s="470"/>
      <c r="O44" s="71"/>
      <c r="P44" s="95" t="str">
        <f t="shared" si="3"/>
        <v/>
      </c>
      <c r="Q44" s="173"/>
      <c r="R44"/>
      <c r="U44"/>
      <c r="V44"/>
      <c r="W44"/>
      <c r="X44"/>
      <c r="Y44"/>
      <c r="Z44"/>
      <c r="AA44"/>
      <c r="AB44"/>
    </row>
    <row r="45" spans="1:28" ht="35.25" customHeight="1" x14ac:dyDescent="0.2">
      <c r="B45" s="93"/>
      <c r="C45" s="97" t="s">
        <v>226</v>
      </c>
      <c r="D45" s="445" t="s">
        <v>275</v>
      </c>
      <c r="E45" s="568"/>
      <c r="F45" s="568"/>
      <c r="G45" s="568"/>
      <c r="H45" s="568"/>
      <c r="I45" s="568"/>
      <c r="J45" s="568"/>
      <c r="K45" s="568"/>
      <c r="L45" s="568"/>
      <c r="M45" s="568"/>
      <c r="N45" s="569"/>
      <c r="O45" s="71"/>
      <c r="P45" s="95" t="str">
        <f t="shared" si="3"/>
        <v/>
      </c>
      <c r="Q45" s="173"/>
      <c r="R45"/>
      <c r="U45"/>
      <c r="V45"/>
      <c r="W45"/>
      <c r="X45"/>
      <c r="Y45"/>
      <c r="Z45"/>
      <c r="AA45"/>
      <c r="AB45"/>
    </row>
    <row r="46" spans="1:28" ht="18" customHeight="1" x14ac:dyDescent="0.2">
      <c r="C46" s="97" t="s">
        <v>227</v>
      </c>
      <c r="D46" s="445" t="s">
        <v>276</v>
      </c>
      <c r="E46" s="570"/>
      <c r="F46" s="570"/>
      <c r="G46" s="570"/>
      <c r="H46" s="570"/>
      <c r="I46" s="570"/>
      <c r="J46" s="570"/>
      <c r="K46" s="570"/>
      <c r="L46" s="570"/>
      <c r="M46" s="570"/>
      <c r="N46" s="570"/>
      <c r="O46" s="71"/>
      <c r="P46" s="95" t="str">
        <f t="shared" si="3"/>
        <v/>
      </c>
      <c r="Q46" s="173"/>
      <c r="R46"/>
      <c r="U46"/>
      <c r="V46"/>
      <c r="W46"/>
      <c r="X46"/>
      <c r="Y46"/>
      <c r="Z46"/>
      <c r="AA46"/>
      <c r="AB46"/>
    </row>
    <row r="47" spans="1:28" ht="35.25" customHeight="1" x14ac:dyDescent="0.2">
      <c r="A47" s="106">
        <v>1</v>
      </c>
      <c r="C47" s="103" t="s">
        <v>228</v>
      </c>
      <c r="D47" s="445" t="s">
        <v>277</v>
      </c>
      <c r="E47" s="568"/>
      <c r="F47" s="568"/>
      <c r="G47" s="568"/>
      <c r="H47" s="568"/>
      <c r="I47" s="568"/>
      <c r="J47" s="568"/>
      <c r="K47" s="568"/>
      <c r="L47" s="568"/>
      <c r="M47" s="568"/>
      <c r="N47" s="569"/>
      <c r="O47" s="71"/>
      <c r="P47" s="95" t="str">
        <f t="shared" si="3"/>
        <v/>
      </c>
      <c r="R47"/>
      <c r="U47"/>
      <c r="V47"/>
      <c r="W47"/>
      <c r="X47"/>
      <c r="Y47"/>
      <c r="Z47"/>
      <c r="AA47"/>
      <c r="AB47"/>
    </row>
    <row r="48" spans="1:28" ht="57.75" customHeight="1" x14ac:dyDescent="0.2">
      <c r="A48" s="107" t="s">
        <v>69</v>
      </c>
      <c r="C48" s="97" t="s">
        <v>229</v>
      </c>
      <c r="D48" s="565" t="s">
        <v>539</v>
      </c>
      <c r="E48" s="566"/>
      <c r="F48" s="566"/>
      <c r="G48" s="566"/>
      <c r="H48" s="566"/>
      <c r="I48" s="566"/>
      <c r="J48" s="566"/>
      <c r="K48" s="566"/>
      <c r="L48" s="566"/>
      <c r="M48" s="566"/>
      <c r="N48" s="566"/>
      <c r="O48" s="71"/>
      <c r="P48" s="95" t="str">
        <f t="shared" si="3"/>
        <v/>
      </c>
      <c r="Q48" s="171"/>
      <c r="R48"/>
      <c r="U48"/>
      <c r="V48"/>
      <c r="W48"/>
      <c r="X48"/>
      <c r="Y48"/>
      <c r="Z48"/>
      <c r="AA48"/>
      <c r="AB48"/>
    </row>
    <row r="49" spans="1:28" ht="39" customHeight="1" x14ac:dyDescent="0.2">
      <c r="A49" s="106">
        <v>1</v>
      </c>
      <c r="B49" s="93"/>
      <c r="C49" s="97" t="s">
        <v>230</v>
      </c>
      <c r="D49" s="567" t="s">
        <v>540</v>
      </c>
      <c r="E49" s="470"/>
      <c r="F49" s="470"/>
      <c r="G49" s="470"/>
      <c r="H49" s="470"/>
      <c r="I49" s="470"/>
      <c r="J49" s="470"/>
      <c r="K49" s="470"/>
      <c r="L49" s="470"/>
      <c r="M49" s="470"/>
      <c r="N49" s="471"/>
      <c r="O49" s="71"/>
      <c r="P49" s="95" t="str">
        <f t="shared" si="3"/>
        <v/>
      </c>
      <c r="Q49" s="123"/>
      <c r="R49"/>
      <c r="U49"/>
      <c r="V49"/>
      <c r="W49"/>
      <c r="X49"/>
      <c r="Y49"/>
      <c r="Z49"/>
      <c r="AA49"/>
      <c r="AB49"/>
    </row>
    <row r="50" spans="1:28" ht="19.5" customHeight="1" x14ac:dyDescent="0.2">
      <c r="A50" s="107" t="s">
        <v>73</v>
      </c>
      <c r="C50" s="580" t="s">
        <v>278</v>
      </c>
      <c r="D50" s="470"/>
      <c r="E50" s="470"/>
      <c r="F50" s="470"/>
      <c r="G50" s="470"/>
      <c r="H50" s="470"/>
      <c r="I50" s="470"/>
      <c r="J50" s="470"/>
      <c r="K50" s="470"/>
      <c r="L50" s="470"/>
      <c r="M50" s="470"/>
      <c r="N50" s="470"/>
      <c r="O50" s="347"/>
      <c r="P50" s="344"/>
      <c r="Q50" s="99"/>
      <c r="R50"/>
      <c r="U50"/>
      <c r="V50"/>
      <c r="W50"/>
      <c r="X50"/>
      <c r="Y50"/>
      <c r="Z50"/>
      <c r="AA50"/>
      <c r="AB50"/>
    </row>
    <row r="51" spans="1:28" ht="25.5" customHeight="1" x14ac:dyDescent="0.2">
      <c r="A51" s="107" t="s">
        <v>69</v>
      </c>
      <c r="B51" s="93"/>
      <c r="C51" s="581" t="s">
        <v>17</v>
      </c>
      <c r="D51" s="470"/>
      <c r="E51" s="470"/>
      <c r="F51" s="470"/>
      <c r="G51" s="470"/>
      <c r="H51" s="470"/>
      <c r="I51" s="470"/>
      <c r="J51" s="470"/>
      <c r="K51" s="470"/>
      <c r="L51" s="470"/>
      <c r="M51" s="470"/>
      <c r="N51" s="470"/>
      <c r="O51" s="345"/>
      <c r="Q51" s="359"/>
      <c r="R51"/>
      <c r="U51"/>
      <c r="V51"/>
      <c r="W51"/>
      <c r="X51"/>
      <c r="Y51"/>
      <c r="Z51"/>
      <c r="AA51"/>
      <c r="AB51"/>
    </row>
    <row r="52" spans="1:28" ht="21.75" customHeight="1" x14ac:dyDescent="0.25">
      <c r="A52" s="106">
        <v>1</v>
      </c>
      <c r="B52" s="93"/>
      <c r="C52" s="100" t="s">
        <v>264</v>
      </c>
      <c r="D52" s="576" t="s">
        <v>74</v>
      </c>
      <c r="E52" s="577"/>
      <c r="F52" s="577"/>
      <c r="G52" s="577"/>
      <c r="H52" s="577"/>
      <c r="I52" s="577"/>
      <c r="J52" s="577"/>
      <c r="K52" s="577"/>
      <c r="L52" s="577"/>
      <c r="M52" s="577"/>
      <c r="N52" s="578"/>
      <c r="O52" s="101" t="s">
        <v>265</v>
      </c>
      <c r="P52" s="101" t="s">
        <v>266</v>
      </c>
      <c r="Q52" s="173"/>
      <c r="R52"/>
      <c r="U52"/>
      <c r="V52"/>
      <c r="W52"/>
      <c r="X52"/>
      <c r="Y52"/>
      <c r="Z52"/>
      <c r="AA52"/>
      <c r="AB52"/>
    </row>
    <row r="53" spans="1:28" ht="34.5" customHeight="1" x14ac:dyDescent="0.2">
      <c r="A53" s="106">
        <v>1</v>
      </c>
      <c r="C53" s="94" t="s">
        <v>232</v>
      </c>
      <c r="D53" s="601" t="s">
        <v>279</v>
      </c>
      <c r="E53" s="595"/>
      <c r="F53" s="595"/>
      <c r="G53" s="595"/>
      <c r="H53" s="595"/>
      <c r="I53" s="595"/>
      <c r="J53" s="595"/>
      <c r="K53" s="595"/>
      <c r="L53" s="595"/>
      <c r="M53" s="595"/>
      <c r="N53" s="595"/>
      <c r="O53" s="71"/>
      <c r="P53" s="95" t="str">
        <f t="shared" ref="P53:P60" si="4">IF(O53="","",IF(O53="Yes","Pass",IF(O53="No","Fail","N/A")))</f>
        <v/>
      </c>
      <c r="Q53" s="173"/>
      <c r="R53"/>
      <c r="U53"/>
      <c r="V53"/>
      <c r="W53"/>
      <c r="X53"/>
      <c r="Y53"/>
      <c r="Z53"/>
      <c r="AA53"/>
      <c r="AB53"/>
    </row>
    <row r="54" spans="1:28" ht="60.75" customHeight="1" x14ac:dyDescent="0.2">
      <c r="A54" s="106">
        <v>1</v>
      </c>
      <c r="C54" s="94" t="s">
        <v>233</v>
      </c>
      <c r="D54" s="601" t="s">
        <v>457</v>
      </c>
      <c r="E54" s="605"/>
      <c r="F54" s="605"/>
      <c r="G54" s="605"/>
      <c r="H54" s="605"/>
      <c r="I54" s="605"/>
      <c r="J54" s="605"/>
      <c r="K54" s="605"/>
      <c r="L54" s="605"/>
      <c r="M54" s="605"/>
      <c r="N54" s="606"/>
      <c r="O54" s="71"/>
      <c r="P54" s="95" t="str">
        <f t="shared" si="4"/>
        <v/>
      </c>
      <c r="Q54" s="173"/>
      <c r="R54"/>
      <c r="U54"/>
      <c r="V54"/>
      <c r="W54"/>
      <c r="X54"/>
      <c r="Y54"/>
      <c r="Z54"/>
      <c r="AA54"/>
      <c r="AB54"/>
    </row>
    <row r="55" spans="1:28" ht="38.25" customHeight="1" x14ac:dyDescent="0.2">
      <c r="A55" s="106">
        <v>1</v>
      </c>
      <c r="B55" s="107" t="s">
        <v>70</v>
      </c>
      <c r="C55" s="94" t="s">
        <v>458</v>
      </c>
      <c r="D55" s="602" t="s">
        <v>454</v>
      </c>
      <c r="E55" s="603"/>
      <c r="F55" s="603"/>
      <c r="G55" s="603"/>
      <c r="H55" s="603"/>
      <c r="I55" s="603"/>
      <c r="J55" s="603"/>
      <c r="K55" s="603"/>
      <c r="L55" s="603"/>
      <c r="M55" s="603"/>
      <c r="N55" s="604"/>
      <c r="O55" s="71"/>
      <c r="P55" s="95" t="str">
        <f t="shared" si="4"/>
        <v/>
      </c>
      <c r="Q55" s="173"/>
      <c r="R55"/>
      <c r="U55"/>
      <c r="V55"/>
      <c r="W55"/>
      <c r="X55"/>
      <c r="Y55"/>
      <c r="Z55"/>
      <c r="AA55"/>
      <c r="AB55"/>
    </row>
    <row r="56" spans="1:28" ht="68.25" customHeight="1" x14ac:dyDescent="0.2">
      <c r="A56" s="107" t="s">
        <v>73</v>
      </c>
      <c r="C56" s="94" t="s">
        <v>234</v>
      </c>
      <c r="D56" s="594" t="s">
        <v>541</v>
      </c>
      <c r="E56" s="595"/>
      <c r="F56" s="595"/>
      <c r="G56" s="595"/>
      <c r="H56" s="595"/>
      <c r="I56" s="595"/>
      <c r="J56" s="595"/>
      <c r="K56" s="595"/>
      <c r="L56" s="595"/>
      <c r="M56" s="595"/>
      <c r="N56" s="596"/>
      <c r="O56" s="71"/>
      <c r="P56" s="95" t="str">
        <f t="shared" si="4"/>
        <v/>
      </c>
      <c r="Q56" s="173"/>
      <c r="R56"/>
      <c r="U56"/>
      <c r="V56"/>
      <c r="W56"/>
      <c r="X56"/>
      <c r="Y56"/>
      <c r="Z56"/>
      <c r="AA56"/>
      <c r="AB56"/>
    </row>
    <row r="57" spans="1:28" ht="31.5" customHeight="1" x14ac:dyDescent="0.2">
      <c r="B57" s="93"/>
      <c r="C57" s="94" t="s">
        <v>235</v>
      </c>
      <c r="D57" s="602" t="s">
        <v>459</v>
      </c>
      <c r="E57" s="603"/>
      <c r="F57" s="603"/>
      <c r="G57" s="603"/>
      <c r="H57" s="603"/>
      <c r="I57" s="603"/>
      <c r="J57" s="603"/>
      <c r="K57" s="603"/>
      <c r="L57" s="603"/>
      <c r="M57" s="603"/>
      <c r="N57" s="604"/>
      <c r="O57" s="71"/>
      <c r="P57" s="95" t="str">
        <f t="shared" si="4"/>
        <v/>
      </c>
      <c r="Q57" s="173"/>
      <c r="R57"/>
      <c r="U57"/>
      <c r="V57"/>
      <c r="W57"/>
      <c r="X57"/>
      <c r="Y57"/>
      <c r="Z57"/>
      <c r="AA57"/>
      <c r="AB57"/>
    </row>
    <row r="58" spans="1:28" ht="40.5" customHeight="1" x14ac:dyDescent="0.2">
      <c r="C58" s="104" t="s">
        <v>460</v>
      </c>
      <c r="D58" s="597" t="s">
        <v>455</v>
      </c>
      <c r="E58" s="595"/>
      <c r="F58" s="595"/>
      <c r="G58" s="595"/>
      <c r="H58" s="595"/>
      <c r="I58" s="595"/>
      <c r="J58" s="595"/>
      <c r="K58" s="595"/>
      <c r="L58" s="595"/>
      <c r="M58" s="595"/>
      <c r="N58" s="596"/>
      <c r="O58" s="71"/>
      <c r="P58" s="95" t="str">
        <f t="shared" si="4"/>
        <v/>
      </c>
      <c r="Q58" s="173"/>
      <c r="R58"/>
      <c r="U58"/>
      <c r="V58"/>
      <c r="W58"/>
      <c r="X58"/>
      <c r="Y58"/>
      <c r="Z58"/>
      <c r="AA58"/>
      <c r="AB58"/>
    </row>
    <row r="59" spans="1:28" ht="30" customHeight="1" x14ac:dyDescent="0.2">
      <c r="A59" s="107" t="s">
        <v>70</v>
      </c>
      <c r="C59" s="104" t="s">
        <v>236</v>
      </c>
      <c r="D59" s="598" t="s">
        <v>456</v>
      </c>
      <c r="E59" s="599"/>
      <c r="F59" s="599"/>
      <c r="G59" s="599"/>
      <c r="H59" s="599"/>
      <c r="I59" s="599"/>
      <c r="J59" s="599"/>
      <c r="K59" s="599"/>
      <c r="L59" s="599"/>
      <c r="M59" s="599"/>
      <c r="N59" s="600"/>
      <c r="O59" s="71"/>
      <c r="P59" s="95" t="str">
        <f t="shared" si="4"/>
        <v/>
      </c>
      <c r="Q59" s="173"/>
      <c r="R59"/>
      <c r="U59"/>
      <c r="V59"/>
      <c r="W59"/>
      <c r="X59"/>
      <c r="Y59"/>
      <c r="Z59"/>
      <c r="AA59"/>
      <c r="AB59"/>
    </row>
    <row r="60" spans="1:28" ht="30" customHeight="1" x14ac:dyDescent="0.2">
      <c r="A60" s="107" t="s">
        <v>70</v>
      </c>
      <c r="B60" s="93"/>
      <c r="C60" s="104" t="s">
        <v>237</v>
      </c>
      <c r="D60" s="598" t="s">
        <v>280</v>
      </c>
      <c r="E60" s="599"/>
      <c r="F60" s="599"/>
      <c r="G60" s="599"/>
      <c r="H60" s="599"/>
      <c r="I60" s="599"/>
      <c r="J60" s="599"/>
      <c r="K60" s="599"/>
      <c r="L60" s="599"/>
      <c r="M60" s="599"/>
      <c r="N60" s="600"/>
      <c r="O60" s="71"/>
      <c r="P60" s="95" t="str">
        <f t="shared" si="4"/>
        <v/>
      </c>
      <c r="Q60" s="171"/>
      <c r="R60"/>
      <c r="U60"/>
      <c r="V60"/>
      <c r="W60"/>
      <c r="X60"/>
      <c r="Y60"/>
      <c r="Z60"/>
      <c r="AA60"/>
      <c r="AB60"/>
    </row>
    <row r="61" spans="1:28" ht="22.5" customHeight="1" x14ac:dyDescent="0.2">
      <c r="A61" s="107" t="s">
        <v>69</v>
      </c>
      <c r="B61" s="107" t="s">
        <v>69</v>
      </c>
      <c r="C61" s="580" t="s">
        <v>281</v>
      </c>
      <c r="D61" s="470"/>
      <c r="E61" s="470"/>
      <c r="F61" s="470"/>
      <c r="G61" s="470"/>
      <c r="H61" s="470"/>
      <c r="I61" s="470"/>
      <c r="J61" s="470"/>
      <c r="K61" s="470"/>
      <c r="L61" s="470"/>
      <c r="M61" s="470"/>
      <c r="N61" s="470"/>
      <c r="O61" s="347"/>
      <c r="P61" s="345"/>
      <c r="Q61" s="172"/>
      <c r="R61"/>
      <c r="U61"/>
      <c r="V61"/>
      <c r="W61"/>
      <c r="X61"/>
      <c r="Y61"/>
      <c r="Z61"/>
      <c r="AA61"/>
      <c r="AB61"/>
    </row>
    <row r="62" spans="1:28" ht="28.5" customHeight="1" x14ac:dyDescent="0.2">
      <c r="A62" s="107"/>
      <c r="B62" s="147"/>
      <c r="C62" s="581" t="s">
        <v>17</v>
      </c>
      <c r="D62" s="470"/>
      <c r="E62" s="470"/>
      <c r="F62" s="470"/>
      <c r="G62" s="470"/>
      <c r="H62" s="470"/>
      <c r="I62" s="470"/>
      <c r="J62" s="470"/>
      <c r="K62" s="470"/>
      <c r="L62" s="470"/>
      <c r="M62" s="470"/>
      <c r="N62" s="470"/>
      <c r="O62" s="345"/>
      <c r="Q62" s="171"/>
      <c r="R62"/>
      <c r="U62"/>
      <c r="V62"/>
      <c r="W62"/>
      <c r="X62"/>
      <c r="Y62"/>
      <c r="Z62"/>
      <c r="AA62"/>
      <c r="AB62"/>
    </row>
    <row r="63" spans="1:28" ht="30" customHeight="1" x14ac:dyDescent="0.25">
      <c r="A63" s="107" t="s">
        <v>70</v>
      </c>
      <c r="B63" s="93"/>
      <c r="C63" s="100" t="s">
        <v>264</v>
      </c>
      <c r="D63" s="573" t="s">
        <v>75</v>
      </c>
      <c r="E63" s="574"/>
      <c r="F63" s="574"/>
      <c r="G63" s="574"/>
      <c r="H63" s="574"/>
      <c r="I63" s="574"/>
      <c r="J63" s="574"/>
      <c r="K63" s="574"/>
      <c r="L63" s="574"/>
      <c r="M63" s="574"/>
      <c r="N63" s="440"/>
      <c r="O63" s="101" t="s">
        <v>265</v>
      </c>
      <c r="P63" s="101" t="s">
        <v>266</v>
      </c>
      <c r="Q63" s="359"/>
      <c r="R63"/>
      <c r="U63"/>
      <c r="V63"/>
      <c r="W63"/>
      <c r="X63"/>
      <c r="Y63"/>
      <c r="Z63"/>
      <c r="AA63"/>
      <c r="AB63"/>
    </row>
    <row r="64" spans="1:28" ht="30" customHeight="1" x14ac:dyDescent="0.2">
      <c r="A64" s="107" t="s">
        <v>70</v>
      </c>
      <c r="B64" s="93"/>
      <c r="C64" s="94" t="s">
        <v>239</v>
      </c>
      <c r="D64" s="567" t="s">
        <v>461</v>
      </c>
      <c r="E64" s="470"/>
      <c r="F64" s="470"/>
      <c r="G64" s="470"/>
      <c r="H64" s="470"/>
      <c r="I64" s="470"/>
      <c r="J64" s="470"/>
      <c r="K64" s="470"/>
      <c r="L64" s="470"/>
      <c r="M64" s="470"/>
      <c r="N64" s="471"/>
      <c r="O64" s="71"/>
      <c r="P64" s="95" t="str">
        <f t="shared" ref="P64:P69" si="5">IF(O64="","",IF(O64="Yes","Pass",IF(O64="No","Fail","N/A")))</f>
        <v/>
      </c>
      <c r="Q64" s="173"/>
      <c r="R64"/>
      <c r="U64"/>
      <c r="V64"/>
      <c r="W64"/>
      <c r="X64"/>
      <c r="Y64"/>
      <c r="Z64"/>
      <c r="AA64"/>
      <c r="AB64"/>
    </row>
    <row r="65" spans="1:28" ht="33.75" customHeight="1" x14ac:dyDescent="0.2">
      <c r="A65" s="107" t="s">
        <v>76</v>
      </c>
      <c r="B65" s="93"/>
      <c r="C65" s="94" t="s">
        <v>240</v>
      </c>
      <c r="D65" s="567" t="s">
        <v>282</v>
      </c>
      <c r="E65" s="470"/>
      <c r="F65" s="470"/>
      <c r="G65" s="470"/>
      <c r="H65" s="470"/>
      <c r="I65" s="470"/>
      <c r="J65" s="470"/>
      <c r="K65" s="470"/>
      <c r="L65" s="470"/>
      <c r="M65" s="470"/>
      <c r="N65" s="471"/>
      <c r="O65" s="71"/>
      <c r="P65" s="95" t="str">
        <f t="shared" si="5"/>
        <v/>
      </c>
      <c r="Q65" s="173"/>
      <c r="R65"/>
      <c r="U65"/>
      <c r="V65"/>
      <c r="W65"/>
      <c r="X65"/>
      <c r="Y65"/>
      <c r="Z65"/>
      <c r="AA65"/>
      <c r="AB65"/>
    </row>
    <row r="66" spans="1:28" ht="49.5" customHeight="1" x14ac:dyDescent="0.2">
      <c r="A66" s="106">
        <v>1</v>
      </c>
      <c r="B66" s="93"/>
      <c r="C66" s="94" t="s">
        <v>241</v>
      </c>
      <c r="D66" s="567" t="s">
        <v>462</v>
      </c>
      <c r="E66" s="470"/>
      <c r="F66" s="470"/>
      <c r="G66" s="470"/>
      <c r="H66" s="470"/>
      <c r="I66" s="470"/>
      <c r="J66" s="470"/>
      <c r="K66" s="470"/>
      <c r="L66" s="470"/>
      <c r="M66" s="470"/>
      <c r="N66" s="471"/>
      <c r="O66" s="71"/>
      <c r="P66" s="95" t="str">
        <f t="shared" si="5"/>
        <v/>
      </c>
      <c r="Q66" s="173"/>
      <c r="R66"/>
      <c r="U66"/>
      <c r="V66"/>
      <c r="W66"/>
      <c r="X66"/>
      <c r="Y66"/>
      <c r="Z66"/>
      <c r="AA66"/>
      <c r="AB66"/>
    </row>
    <row r="67" spans="1:28" ht="35.25" customHeight="1" x14ac:dyDescent="0.2">
      <c r="A67" s="107" t="s">
        <v>73</v>
      </c>
      <c r="C67" s="148" t="s">
        <v>542</v>
      </c>
      <c r="D67" s="593" t="s">
        <v>464</v>
      </c>
      <c r="E67" s="470"/>
      <c r="F67" s="470"/>
      <c r="G67" s="470"/>
      <c r="H67" s="470"/>
      <c r="I67" s="470"/>
      <c r="J67" s="470"/>
      <c r="K67" s="470"/>
      <c r="L67" s="470"/>
      <c r="M67" s="470"/>
      <c r="N67" s="470"/>
      <c r="O67" s="71"/>
      <c r="P67" s="95" t="str">
        <f t="shared" si="5"/>
        <v/>
      </c>
      <c r="Q67" s="173"/>
      <c r="R67"/>
      <c r="U67"/>
      <c r="V67"/>
      <c r="W67"/>
      <c r="X67"/>
      <c r="Y67"/>
      <c r="Z67"/>
      <c r="AA67"/>
      <c r="AB67"/>
    </row>
    <row r="68" spans="1:28" ht="36" customHeight="1" x14ac:dyDescent="0.2">
      <c r="B68" s="93"/>
      <c r="C68" s="94" t="s">
        <v>242</v>
      </c>
      <c r="D68" s="469" t="s">
        <v>546</v>
      </c>
      <c r="E68" s="470"/>
      <c r="F68" s="470"/>
      <c r="G68" s="470"/>
      <c r="H68" s="470"/>
      <c r="I68" s="470"/>
      <c r="J68" s="470"/>
      <c r="K68" s="470"/>
      <c r="L68" s="470"/>
      <c r="M68" s="470"/>
      <c r="N68" s="471"/>
      <c r="O68" s="71"/>
      <c r="P68" s="95" t="str">
        <f t="shared" si="5"/>
        <v/>
      </c>
      <c r="Q68" s="173"/>
      <c r="R68"/>
      <c r="U68"/>
      <c r="V68"/>
      <c r="W68"/>
      <c r="X68"/>
      <c r="Y68"/>
      <c r="Z68"/>
      <c r="AA68"/>
      <c r="AB68"/>
    </row>
    <row r="69" spans="1:28" ht="52.5" customHeight="1" x14ac:dyDescent="0.2">
      <c r="C69" s="94" t="s">
        <v>243</v>
      </c>
      <c r="D69" s="469" t="s">
        <v>547</v>
      </c>
      <c r="E69" s="470"/>
      <c r="F69" s="470"/>
      <c r="G69" s="470"/>
      <c r="H69" s="470"/>
      <c r="I69" s="470"/>
      <c r="J69" s="470"/>
      <c r="K69" s="470"/>
      <c r="L69" s="470"/>
      <c r="M69" s="470"/>
      <c r="N69" s="471"/>
      <c r="O69" s="71"/>
      <c r="P69" s="95" t="str">
        <f t="shared" si="5"/>
        <v/>
      </c>
      <c r="Q69" s="173"/>
      <c r="R69"/>
      <c r="U69"/>
      <c r="V69"/>
      <c r="W69"/>
      <c r="X69"/>
      <c r="Y69"/>
      <c r="Z69"/>
      <c r="AA69"/>
      <c r="AB69"/>
    </row>
    <row r="70" spans="1:28" ht="21" customHeight="1" x14ac:dyDescent="0.25">
      <c r="A70" s="107" t="s">
        <v>70</v>
      </c>
      <c r="C70" s="608" t="s">
        <v>283</v>
      </c>
      <c r="D70" s="486"/>
      <c r="E70" s="486"/>
      <c r="F70" s="486"/>
      <c r="G70" s="486"/>
      <c r="H70" s="486"/>
      <c r="I70" s="486"/>
      <c r="J70" s="486"/>
      <c r="K70" s="486"/>
      <c r="L70" s="486"/>
      <c r="M70" s="486"/>
      <c r="N70" s="486"/>
      <c r="O70" s="348"/>
      <c r="P70" s="342"/>
      <c r="Q70" s="173"/>
      <c r="R70"/>
      <c r="U70"/>
      <c r="V70"/>
      <c r="W70"/>
      <c r="X70"/>
      <c r="Y70"/>
      <c r="Z70"/>
      <c r="AA70"/>
      <c r="AB70"/>
    </row>
    <row r="71" spans="1:28" ht="29.25" customHeight="1" x14ac:dyDescent="0.25">
      <c r="A71" s="107" t="s">
        <v>285</v>
      </c>
      <c r="B71" s="93"/>
      <c r="C71" s="581" t="s">
        <v>17</v>
      </c>
      <c r="D71" s="470"/>
      <c r="E71" s="470"/>
      <c r="F71" s="470"/>
      <c r="G71" s="470"/>
      <c r="H71" s="470"/>
      <c r="I71" s="470"/>
      <c r="J71" s="470"/>
      <c r="K71" s="470"/>
      <c r="L71" s="470"/>
      <c r="M71" s="470"/>
      <c r="N71" s="470"/>
      <c r="O71" s="345"/>
      <c r="Q71" s="352"/>
      <c r="R71"/>
      <c r="U71"/>
      <c r="V71"/>
      <c r="W71"/>
      <c r="X71"/>
      <c r="Y71"/>
      <c r="Z71"/>
      <c r="AA71"/>
      <c r="AB71"/>
    </row>
    <row r="72" spans="1:28" ht="21.75" customHeight="1" x14ac:dyDescent="0.25">
      <c r="A72" s="107" t="s">
        <v>76</v>
      </c>
      <c r="B72" s="107" t="s">
        <v>286</v>
      </c>
      <c r="C72" s="100" t="s">
        <v>264</v>
      </c>
      <c r="D72" s="573" t="s">
        <v>77</v>
      </c>
      <c r="E72" s="574"/>
      <c r="F72" s="574"/>
      <c r="G72" s="574"/>
      <c r="H72" s="574"/>
      <c r="I72" s="574"/>
      <c r="J72" s="574"/>
      <c r="K72" s="574"/>
      <c r="L72" s="574"/>
      <c r="M72" s="574"/>
      <c r="N72" s="574"/>
      <c r="O72" s="101" t="s">
        <v>265</v>
      </c>
      <c r="P72" s="101" t="s">
        <v>266</v>
      </c>
      <c r="Q72" s="172"/>
      <c r="R72"/>
      <c r="U72"/>
      <c r="V72"/>
      <c r="W72"/>
      <c r="X72"/>
      <c r="Y72"/>
      <c r="Z72"/>
      <c r="AA72"/>
      <c r="AB72"/>
    </row>
    <row r="73" spans="1:28" ht="36" customHeight="1" x14ac:dyDescent="0.2">
      <c r="A73" s="107" t="s">
        <v>287</v>
      </c>
      <c r="B73" s="107" t="s">
        <v>80</v>
      </c>
      <c r="C73" s="102" t="s">
        <v>245</v>
      </c>
      <c r="D73" s="607" t="s">
        <v>284</v>
      </c>
      <c r="E73" s="470"/>
      <c r="F73" s="470"/>
      <c r="G73" s="470"/>
      <c r="H73" s="470"/>
      <c r="I73" s="470"/>
      <c r="J73" s="470"/>
      <c r="K73" s="470"/>
      <c r="L73" s="470"/>
      <c r="M73" s="470"/>
      <c r="N73" s="470"/>
      <c r="O73" s="71"/>
      <c r="P73" s="95" t="str">
        <f>IF(O73="","",IF(O73="Yes","Fail",IF(O73="No","Pass","N/A")))</f>
        <v/>
      </c>
      <c r="R73"/>
      <c r="U73"/>
      <c r="V73"/>
      <c r="W73"/>
      <c r="X73"/>
      <c r="Y73"/>
      <c r="Z73"/>
      <c r="AA73"/>
      <c r="AB73"/>
    </row>
    <row r="74" spans="1:28" ht="189" customHeight="1" x14ac:dyDescent="0.2">
      <c r="A74" s="107" t="s">
        <v>288</v>
      </c>
      <c r="B74" s="93"/>
      <c r="C74" s="102" t="s">
        <v>246</v>
      </c>
      <c r="D74" s="609" t="s">
        <v>552</v>
      </c>
      <c r="E74" s="470"/>
      <c r="F74" s="470"/>
      <c r="G74" s="470"/>
      <c r="H74" s="470"/>
      <c r="I74" s="470"/>
      <c r="J74" s="470"/>
      <c r="K74" s="470"/>
      <c r="L74" s="470"/>
      <c r="M74" s="470"/>
      <c r="N74" s="470"/>
      <c r="O74" s="71"/>
      <c r="P74" s="95" t="str">
        <f>IF(O74="","",IF(O74="Yes","Fail",IF(O74="No","Pass","N/A")))</f>
        <v/>
      </c>
      <c r="Q74" s="359"/>
      <c r="R74"/>
      <c r="U74"/>
      <c r="V74"/>
      <c r="W74"/>
      <c r="X74"/>
      <c r="Y74"/>
      <c r="Z74"/>
      <c r="AA74"/>
      <c r="AB74"/>
    </row>
    <row r="75" spans="1:28" ht="94.5" customHeight="1" x14ac:dyDescent="0.2">
      <c r="A75" s="107" t="s">
        <v>81</v>
      </c>
      <c r="B75" s="93"/>
      <c r="C75" s="102" t="s">
        <v>247</v>
      </c>
      <c r="D75" s="609" t="s">
        <v>551</v>
      </c>
      <c r="E75" s="470"/>
      <c r="F75" s="470"/>
      <c r="G75" s="470"/>
      <c r="H75" s="470"/>
      <c r="I75" s="470"/>
      <c r="J75" s="470"/>
      <c r="K75" s="470"/>
      <c r="L75" s="470"/>
      <c r="M75" s="470"/>
      <c r="N75" s="470"/>
      <c r="O75" s="71"/>
      <c r="P75" s="95" t="str">
        <f t="shared" ref="P75:P82" si="6">IF(O75="","",IF(O75="Yes","Pass",IF(O75="No","Fail","N/A")))</f>
        <v/>
      </c>
      <c r="Q75" s="173"/>
      <c r="R75"/>
      <c r="U75"/>
      <c r="V75"/>
      <c r="W75"/>
      <c r="X75"/>
      <c r="Y75"/>
      <c r="Z75"/>
      <c r="AA75"/>
      <c r="AB75"/>
    </row>
    <row r="76" spans="1:28" ht="126" customHeight="1" x14ac:dyDescent="0.2">
      <c r="A76" s="107" t="s">
        <v>69</v>
      </c>
      <c r="B76" s="93"/>
      <c r="C76" s="102" t="s">
        <v>248</v>
      </c>
      <c r="D76" s="579" t="s">
        <v>550</v>
      </c>
      <c r="E76" s="572"/>
      <c r="F76" s="572"/>
      <c r="G76" s="572"/>
      <c r="H76" s="572"/>
      <c r="I76" s="572"/>
      <c r="J76" s="572"/>
      <c r="K76" s="572"/>
      <c r="L76" s="572"/>
      <c r="M76" s="572"/>
      <c r="N76" s="572"/>
      <c r="O76" s="71"/>
      <c r="P76" s="95" t="str">
        <f t="shared" si="6"/>
        <v/>
      </c>
      <c r="Q76" s="173"/>
      <c r="R76"/>
      <c r="U76"/>
      <c r="V76"/>
      <c r="W76"/>
      <c r="X76"/>
      <c r="Y76"/>
      <c r="Z76"/>
      <c r="AA76"/>
      <c r="AB76"/>
    </row>
    <row r="77" spans="1:28" ht="78" customHeight="1" x14ac:dyDescent="0.2">
      <c r="A77" s="107" t="s">
        <v>288</v>
      </c>
      <c r="B77" s="93"/>
      <c r="C77" s="102" t="s">
        <v>249</v>
      </c>
      <c r="D77" s="579" t="s">
        <v>289</v>
      </c>
      <c r="E77" s="572"/>
      <c r="F77" s="572"/>
      <c r="G77" s="572"/>
      <c r="H77" s="572"/>
      <c r="I77" s="572"/>
      <c r="J77" s="572"/>
      <c r="K77" s="572"/>
      <c r="L77" s="572"/>
      <c r="M77" s="572"/>
      <c r="N77" s="582"/>
      <c r="O77" s="71"/>
      <c r="P77" s="95" t="str">
        <f t="shared" si="6"/>
        <v/>
      </c>
      <c r="Q77" s="173"/>
      <c r="R77"/>
      <c r="U77"/>
      <c r="V77"/>
      <c r="W77"/>
      <c r="X77"/>
      <c r="Y77"/>
      <c r="Z77"/>
      <c r="AA77"/>
      <c r="AB77"/>
    </row>
    <row r="78" spans="1:28" ht="108.75" customHeight="1" x14ac:dyDescent="0.2">
      <c r="A78" s="107" t="s">
        <v>73</v>
      </c>
      <c r="B78" s="93"/>
      <c r="C78" s="102" t="s">
        <v>250</v>
      </c>
      <c r="D78" s="579" t="s">
        <v>543</v>
      </c>
      <c r="E78" s="572"/>
      <c r="F78" s="572"/>
      <c r="G78" s="572"/>
      <c r="H78" s="572"/>
      <c r="I78" s="572"/>
      <c r="J78" s="572"/>
      <c r="K78" s="572"/>
      <c r="L78" s="572"/>
      <c r="M78" s="572"/>
      <c r="N78" s="582"/>
      <c r="O78" s="71"/>
      <c r="P78" s="95" t="str">
        <f t="shared" si="6"/>
        <v/>
      </c>
      <c r="Q78" s="173"/>
      <c r="R78"/>
      <c r="U78"/>
      <c r="V78"/>
      <c r="W78"/>
      <c r="X78"/>
      <c r="Y78"/>
      <c r="Z78"/>
      <c r="AA78"/>
      <c r="AB78"/>
    </row>
    <row r="79" spans="1:28" ht="36" customHeight="1" x14ac:dyDescent="0.2">
      <c r="A79" s="107" t="s">
        <v>81</v>
      </c>
      <c r="B79" s="93"/>
      <c r="C79" s="102" t="s">
        <v>251</v>
      </c>
      <c r="D79" s="567" t="s">
        <v>290</v>
      </c>
      <c r="E79" s="572"/>
      <c r="F79" s="572"/>
      <c r="G79" s="572"/>
      <c r="H79" s="572"/>
      <c r="I79" s="572"/>
      <c r="J79" s="572"/>
      <c r="K79" s="572"/>
      <c r="L79" s="572"/>
      <c r="M79" s="572"/>
      <c r="N79" s="582"/>
      <c r="O79" s="71"/>
      <c r="P79" s="95" t="str">
        <f t="shared" si="6"/>
        <v/>
      </c>
      <c r="Q79" s="173"/>
      <c r="R79"/>
      <c r="U79"/>
      <c r="V79"/>
      <c r="W79"/>
      <c r="X79"/>
      <c r="Y79"/>
      <c r="Z79"/>
      <c r="AA79"/>
      <c r="AB79"/>
    </row>
    <row r="80" spans="1:28" ht="91.5" customHeight="1" x14ac:dyDescent="0.2">
      <c r="A80" s="107" t="s">
        <v>81</v>
      </c>
      <c r="B80" s="93"/>
      <c r="C80" s="102" t="s">
        <v>252</v>
      </c>
      <c r="D80" s="579" t="s">
        <v>549</v>
      </c>
      <c r="E80" s="572"/>
      <c r="F80" s="572"/>
      <c r="G80" s="572"/>
      <c r="H80" s="572"/>
      <c r="I80" s="572"/>
      <c r="J80" s="572"/>
      <c r="K80" s="572"/>
      <c r="L80" s="572"/>
      <c r="M80" s="572"/>
      <c r="N80" s="582"/>
      <c r="O80" s="71"/>
      <c r="P80" s="95" t="str">
        <f t="shared" si="6"/>
        <v/>
      </c>
      <c r="Q80" s="173"/>
      <c r="R80"/>
      <c r="U80"/>
      <c r="V80"/>
      <c r="W80"/>
      <c r="X80"/>
      <c r="Y80"/>
      <c r="Z80"/>
      <c r="AA80"/>
      <c r="AB80"/>
    </row>
    <row r="81" spans="1:18" ht="61.5" customHeight="1" x14ac:dyDescent="0.2">
      <c r="A81" s="107" t="s">
        <v>288</v>
      </c>
      <c r="B81" s="93"/>
      <c r="C81" s="102" t="s">
        <v>253</v>
      </c>
      <c r="D81" s="579" t="s">
        <v>291</v>
      </c>
      <c r="E81" s="572"/>
      <c r="F81" s="572"/>
      <c r="G81" s="572"/>
      <c r="H81" s="572"/>
      <c r="I81" s="572"/>
      <c r="J81" s="572"/>
      <c r="K81" s="572"/>
      <c r="L81" s="572"/>
      <c r="M81" s="572"/>
      <c r="N81" s="582"/>
      <c r="O81" s="71"/>
      <c r="P81" s="95" t="str">
        <f t="shared" si="6"/>
        <v/>
      </c>
      <c r="Q81"/>
      <c r="R81"/>
    </row>
    <row r="82" spans="1:18" ht="78.75" customHeight="1" x14ac:dyDescent="0.2">
      <c r="A82" s="106">
        <v>1</v>
      </c>
      <c r="B82" s="93"/>
      <c r="C82" s="102" t="s">
        <v>254</v>
      </c>
      <c r="D82" s="609" t="s">
        <v>548</v>
      </c>
      <c r="E82" s="470"/>
      <c r="F82" s="470"/>
      <c r="G82" s="470"/>
      <c r="H82" s="470"/>
      <c r="I82" s="470"/>
      <c r="J82" s="470"/>
      <c r="K82" s="470"/>
      <c r="L82" s="470"/>
      <c r="M82" s="470"/>
      <c r="N82" s="471"/>
      <c r="O82" s="71"/>
      <c r="P82" s="95" t="str">
        <f t="shared" si="6"/>
        <v/>
      </c>
      <c r="Q82"/>
      <c r="R82"/>
    </row>
    <row r="83" spans="1:18" ht="20.25" customHeight="1" x14ac:dyDescent="0.2">
      <c r="A83" s="107" t="s">
        <v>73</v>
      </c>
      <c r="C83" s="469" t="s">
        <v>292</v>
      </c>
      <c r="D83" s="470"/>
      <c r="E83" s="470"/>
      <c r="F83" s="470"/>
      <c r="G83" s="470"/>
      <c r="H83" s="470"/>
      <c r="I83" s="470"/>
      <c r="J83" s="470"/>
      <c r="K83" s="470"/>
      <c r="L83" s="470"/>
      <c r="M83" s="470"/>
      <c r="N83" s="470"/>
      <c r="O83" s="346"/>
      <c r="P83" s="95"/>
      <c r="Q83"/>
      <c r="R83"/>
    </row>
    <row r="84" spans="1:18" ht="21" customHeight="1" x14ac:dyDescent="0.2">
      <c r="B84" s="93"/>
      <c r="C84" s="581" t="s">
        <v>17</v>
      </c>
      <c r="D84" s="470"/>
      <c r="E84" s="470"/>
      <c r="F84" s="470"/>
      <c r="G84" s="470"/>
      <c r="H84" s="470"/>
      <c r="I84" s="470"/>
      <c r="J84" s="470"/>
      <c r="K84" s="470"/>
      <c r="L84" s="470"/>
      <c r="M84" s="470"/>
      <c r="N84" s="470"/>
      <c r="O84" s="345"/>
      <c r="P84" s="346"/>
      <c r="Q84"/>
      <c r="R84"/>
    </row>
    <row r="85" spans="1:18" ht="18" x14ac:dyDescent="0.2">
      <c r="P85" s="345"/>
      <c r="Q85" s="173"/>
      <c r="R85" s="173"/>
    </row>
    <row r="86" spans="1:18" ht="18" x14ac:dyDescent="0.2">
      <c r="P86" s="105"/>
      <c r="Q86" s="173"/>
      <c r="R86" s="173"/>
    </row>
    <row r="87" spans="1:18" x14ac:dyDescent="0.2">
      <c r="P87" s="105"/>
      <c r="Q87" s="105"/>
      <c r="R87" s="105"/>
    </row>
    <row r="88" spans="1:18" x14ac:dyDescent="0.2">
      <c r="Q88" s="105"/>
      <c r="R88" s="105"/>
    </row>
    <row r="89" spans="1:18" x14ac:dyDescent="0.2">
      <c r="Q89" s="105"/>
      <c r="R89" s="105"/>
    </row>
    <row r="90" spans="1:18" x14ac:dyDescent="0.2">
      <c r="Q90" s="105"/>
      <c r="R90" s="105"/>
    </row>
  </sheetData>
  <sheetProtection algorithmName="SHA-512" hashValue="JJ2b3SrWDWKtiuGpKO5+XH2CRibU8BaStkOgQCPGmur3RhiIJOt9EQL3Q3Yo7xRhTO0URaoIy+qtqG1yrzTY6g==" saltValue="k0Fl9K6fZKPRXglqay7BDA==" spinCount="100000" sheet="1" objects="1" scenarios="1"/>
  <mergeCells count="83">
    <mergeCell ref="C84:N84"/>
    <mergeCell ref="D69:N69"/>
    <mergeCell ref="C70:N70"/>
    <mergeCell ref="C71:N71"/>
    <mergeCell ref="D82:N82"/>
    <mergeCell ref="C83:N83"/>
    <mergeCell ref="D76:N76"/>
    <mergeCell ref="D37:N37"/>
    <mergeCell ref="D49:N49"/>
    <mergeCell ref="C50:N50"/>
    <mergeCell ref="C51:N51"/>
    <mergeCell ref="D60:N60"/>
    <mergeCell ref="D41:N41"/>
    <mergeCell ref="D47:N47"/>
    <mergeCell ref="D48:N48"/>
    <mergeCell ref="D42:N42"/>
    <mergeCell ref="D40:N40"/>
    <mergeCell ref="D58:N58"/>
    <mergeCell ref="D56:N56"/>
    <mergeCell ref="D57:N57"/>
    <mergeCell ref="C28:N28"/>
    <mergeCell ref="D33:N33"/>
    <mergeCell ref="C34:N34"/>
    <mergeCell ref="C35:N35"/>
    <mergeCell ref="D31:N31"/>
    <mergeCell ref="D15:N15"/>
    <mergeCell ref="D16:N16"/>
    <mergeCell ref="D17:N17"/>
    <mergeCell ref="D22:N22"/>
    <mergeCell ref="C27:N27"/>
    <mergeCell ref="C2:G2"/>
    <mergeCell ref="D14:N14"/>
    <mergeCell ref="D8:N8"/>
    <mergeCell ref="D9:N9"/>
    <mergeCell ref="D10:N10"/>
    <mergeCell ref="D11:N11"/>
    <mergeCell ref="D12:N12"/>
    <mergeCell ref="D13:N13"/>
    <mergeCell ref="E5:G5"/>
    <mergeCell ref="D65:N65"/>
    <mergeCell ref="D32:N32"/>
    <mergeCell ref="D36:N36"/>
    <mergeCell ref="D24:N24"/>
    <mergeCell ref="D25:N25"/>
    <mergeCell ref="D63:N63"/>
    <mergeCell ref="D55:N55"/>
    <mergeCell ref="D39:N39"/>
    <mergeCell ref="D30:N30"/>
    <mergeCell ref="D43:N43"/>
    <mergeCell ref="D44:N44"/>
    <mergeCell ref="D52:N52"/>
    <mergeCell ref="D64:N64"/>
    <mergeCell ref="D59:N59"/>
    <mergeCell ref="D53:N53"/>
    <mergeCell ref="D54:N54"/>
    <mergeCell ref="C61:N61"/>
    <mergeCell ref="C62:N62"/>
    <mergeCell ref="S1:U1"/>
    <mergeCell ref="T4:U4"/>
    <mergeCell ref="D18:N18"/>
    <mergeCell ref="K1:L1"/>
    <mergeCell ref="D19:N19"/>
    <mergeCell ref="C20:N20"/>
    <mergeCell ref="C21:N21"/>
    <mergeCell ref="D23:N23"/>
    <mergeCell ref="D45:N45"/>
    <mergeCell ref="D46:N46"/>
    <mergeCell ref="D29:N29"/>
    <mergeCell ref="D26:N26"/>
    <mergeCell ref="K2:L2"/>
    <mergeCell ref="C1:G1"/>
    <mergeCell ref="D66:N66"/>
    <mergeCell ref="D67:N67"/>
    <mergeCell ref="D81:N81"/>
    <mergeCell ref="D78:N78"/>
    <mergeCell ref="D77:N77"/>
    <mergeCell ref="D79:N79"/>
    <mergeCell ref="D68:N68"/>
    <mergeCell ref="D72:N72"/>
    <mergeCell ref="D73:N73"/>
    <mergeCell ref="D74:N74"/>
    <mergeCell ref="D75:N75"/>
    <mergeCell ref="D80:N80"/>
  </mergeCells>
  <conditionalFormatting sqref="M5">
    <cfRule type="containsText" dxfId="29" priority="4" operator="containsText" text="Fail">
      <formula>NOT(ISERROR(SEARCH("Fail",M5)))</formula>
    </cfRule>
  </conditionalFormatting>
  <conditionalFormatting sqref="P8:R19 P20 P22:R26 P29:R33 Q34:Q46 P36:P37 P39:P49 Q51:Q59 P52:P60 P63:P69 Q63:Q70 P72:P83 Q74:Q80">
    <cfRule type="containsText" dxfId="28" priority="1" operator="containsText" text="Fail">
      <formula>NOT(ISERROR(SEARCH("Fail",P8)))</formula>
    </cfRule>
  </conditionalFormatting>
  <conditionalFormatting sqref="Q85:R86">
    <cfRule type="containsText" dxfId="27" priority="6" operator="containsText" text="Fail">
      <formula>NOT(ISERROR(SEARCH("Fail",Q85)))</formula>
    </cfRule>
  </conditionalFormatting>
  <conditionalFormatting sqref="U1:U3 T4">
    <cfRule type="containsText" dxfId="26" priority="2" operator="containsText" text="Fail">
      <formula>NOT(ISERROR(SEARCH("Fail",T1)))</formula>
    </cfRule>
  </conditionalFormatting>
  <conditionalFormatting sqref="AE9">
    <cfRule type="containsText" dxfId="25" priority="5" operator="containsText" text="Fail">
      <formula>NOT(ISERROR(SEARCH("Fail",AE9)))</formula>
    </cfRule>
  </conditionalFormatting>
  <dataValidations count="4">
    <dataValidation type="whole" operator="greaterThan" allowBlank="1" showInputMessage="1" showErrorMessage="1" sqref="X9:X34" xr:uid="{56238F0D-53D9-4138-A8DB-D8B4D4127EAD}">
      <formula1>0</formula1>
    </dataValidation>
    <dataValidation type="date" operator="greaterThan" allowBlank="1" showInputMessage="1" showErrorMessage="1" sqref="W9:W34" xr:uid="{F9B35FA4-B89E-4205-8285-0ADF43183F3B}">
      <formula1>36526</formula1>
    </dataValidation>
    <dataValidation type="list" showErrorMessage="1" errorTitle="Invalid Selection" error="Select either Yes, No, or N/A from the dropdown list. Click &quot;Cancel&quot; below, then update selection." sqref="O73:O82 O23:O26 O53:O60 O39:O49 O64:O69 O37 O30:O33 O9:O19" xr:uid="{398371C2-6957-4004-B417-6093F2D19BE3}">
      <formula1>"Yes,No,N/A"</formula1>
    </dataValidation>
    <dataValidation type="decimal" operator="greaterThanOrEqual" allowBlank="1" showInputMessage="1" showErrorMessage="1" errorTitle="Input Error" error="Insert the claimed amount with dollars and cents in $0.00 format. Click &quot;Cancel&quot; below and try again." sqref="Y9:Y34" xr:uid="{B20F7C15-65C6-4E99-96DF-F63C208495ED}">
      <formula1>0</formula1>
    </dataValidation>
  </dataValidations>
  <pageMargins left="0.7" right="0.7" top="1" bottom="0.75" header="0.3" footer="0.3"/>
  <pageSetup scale="70" fitToHeight="0" orientation="portrait" r:id="rId1"/>
  <headerFooter>
    <oddHeader>&amp;CConfidential QI Report
San Diego County Mental Health Plan
Behavioral Health Services
Fiscal Year 23-24</oddHeader>
    <oddFooter>&amp;LFY 23-24 Medical Record Review Report - Excel - Rev. 7-1-23</oddFooter>
  </headerFooter>
  <colBreaks count="1" manualBreakCount="1">
    <brk id="16" max="84"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7164C1E0-7559-4BBF-88F6-23643008AA14}">
          <x14:formula1>
            <xm:f>Validations!$E$4:$E$15</xm:f>
          </x14:formula1>
          <xm:sqref>Z9:Z34</xm:sqref>
        </x14:dataValidation>
        <x14:dataValidation type="list" allowBlank="1" showInputMessage="1" showErrorMessage="1" xr:uid="{20E4ADC1-0A6D-4488-8C7F-7C39D233294C}">
          <x14:formula1>
            <xm:f>Validations!$D$4:$D$7</xm:f>
          </x14:formula1>
          <xm:sqref>AA9:AA34</xm:sqref>
        </x14:dataValidation>
        <x14:dataValidation type="list" allowBlank="1" showInputMessage="1" showErrorMessage="1" xr:uid="{0CE0DD5D-A8CE-4D03-BF59-E7217A21A480}">
          <x14:formula1>
            <xm:f>Validations!$C$4:$C$54</xm:f>
          </x14:formula1>
          <xm:sqref>V9:V34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31F7-087D-4F1C-851A-FF6567C0E0D4}">
  <sheetPr codeName="Sheet18">
    <tabColor theme="3" tint="0.39997558519241921"/>
  </sheetPr>
  <dimension ref="A1:AE90"/>
  <sheetViews>
    <sheetView showGridLines="0" view="pageBreakPreview" zoomScale="92" zoomScaleNormal="80" zoomScaleSheetLayoutView="92" workbookViewId="0">
      <selection activeCell="D12" sqref="D12:N12"/>
    </sheetView>
  </sheetViews>
  <sheetFormatPr defaultColWidth="9.5703125" defaultRowHeight="15" x14ac:dyDescent="0.2"/>
  <cols>
    <col min="1" max="1" width="7.7109375" style="106" customWidth="1"/>
    <col min="2" max="2" width="8.42578125" style="4" customWidth="1"/>
    <col min="3" max="3" width="8.42578125" style="5" customWidth="1"/>
    <col min="4" max="4" width="2.5703125" style="1" customWidth="1"/>
    <col min="5" max="5" width="7.140625" style="1" customWidth="1"/>
    <col min="6" max="6" width="8.5703125" style="1" customWidth="1"/>
    <col min="7" max="7" width="6.42578125" style="1" customWidth="1"/>
    <col min="8" max="8" width="4.7109375" style="1" customWidth="1"/>
    <col min="9" max="9" width="27.28515625" style="1" customWidth="1"/>
    <col min="10" max="10" width="2.5703125" style="1" customWidth="1"/>
    <col min="11" max="11" width="18.140625" style="1" customWidth="1"/>
    <col min="12" max="12" width="3.42578125" style="1" customWidth="1"/>
    <col min="13" max="13" width="12.140625" style="1" customWidth="1"/>
    <col min="14" max="14" width="9.5703125" style="1" customWidth="1"/>
    <col min="15" max="15" width="13.28515625" style="1" customWidth="1"/>
    <col min="16" max="16" width="8.7109375" style="1" hidden="1" customWidth="1"/>
    <col min="17" max="18" width="2.140625" style="1" customWidth="1"/>
    <col min="19" max="19" width="11.7109375" customWidth="1"/>
    <col min="20" max="20" width="12.28515625" customWidth="1"/>
    <col min="21" max="21" width="13" style="1" customWidth="1"/>
    <col min="22" max="22" width="23.42578125" style="1" customWidth="1"/>
    <col min="23" max="23" width="12.42578125" style="1" customWidth="1"/>
    <col min="24" max="25" width="9.5703125" style="1"/>
    <col min="26" max="26" width="12.140625" style="1" customWidth="1"/>
    <col min="27" max="27" width="13.5703125" style="1" customWidth="1"/>
    <col min="28" max="28" width="23.28515625" style="1" customWidth="1"/>
    <col min="29" max="16384" width="9.5703125" style="1"/>
  </cols>
  <sheetData>
    <row r="1" spans="1:31" s="5" customFormat="1" ht="15.75" x14ac:dyDescent="0.25">
      <c r="A1" s="106"/>
      <c r="B1" s="4"/>
      <c r="C1" s="560" t="s">
        <v>338</v>
      </c>
      <c r="D1" s="561"/>
      <c r="E1" s="561"/>
      <c r="F1" s="561"/>
      <c r="G1" s="562"/>
      <c r="H1"/>
      <c r="I1" s="86" t="s">
        <v>38</v>
      </c>
      <c r="J1" s="153"/>
      <c r="K1" s="560" t="s">
        <v>12</v>
      </c>
      <c r="L1" s="562"/>
      <c r="N1"/>
      <c r="O1"/>
      <c r="P1"/>
      <c r="Q1"/>
      <c r="R1"/>
      <c r="S1" s="560" t="s">
        <v>260</v>
      </c>
      <c r="T1" s="561"/>
      <c r="U1" s="562"/>
      <c r="V1"/>
      <c r="W1"/>
      <c r="X1"/>
      <c r="Y1"/>
      <c r="Z1"/>
      <c r="AA1"/>
      <c r="AB1"/>
    </row>
    <row r="2" spans="1:31" s="5" customFormat="1" ht="15" customHeight="1" x14ac:dyDescent="0.2">
      <c r="A2" s="106"/>
      <c r="B2" s="4"/>
      <c r="C2" s="583">
        <f>'Chart Review Info'!D3</f>
        <v>0</v>
      </c>
      <c r="D2" s="584"/>
      <c r="E2" s="584"/>
      <c r="F2" s="584"/>
      <c r="G2" s="585"/>
      <c r="H2"/>
      <c r="I2" s="150">
        <f>'Chart Review Info'!D4</f>
        <v>0</v>
      </c>
      <c r="J2" s="153"/>
      <c r="K2" s="592">
        <f>'Chart Review Info'!F29</f>
        <v>0</v>
      </c>
      <c r="L2" s="591"/>
      <c r="N2"/>
      <c r="O2"/>
      <c r="P2"/>
      <c r="Q2"/>
      <c r="R2"/>
      <c r="S2" s="55">
        <f>'Chart Review Info'!G4</f>
        <v>0</v>
      </c>
      <c r="T2" s="82" t="s">
        <v>261</v>
      </c>
      <c r="U2" s="83">
        <f>'Chart Review Info'!G5</f>
        <v>0</v>
      </c>
      <c r="V2"/>
      <c r="W2"/>
      <c r="X2"/>
      <c r="Y2"/>
      <c r="Z2"/>
      <c r="AA2"/>
      <c r="AB2"/>
    </row>
    <row r="3" spans="1:31" s="5" customFormat="1" x14ac:dyDescent="0.2">
      <c r="A3" s="106"/>
      <c r="B3" s="4"/>
      <c r="C3" s="84"/>
      <c r="H3"/>
      <c r="J3" s="98"/>
      <c r="V3"/>
      <c r="W3"/>
      <c r="X3"/>
      <c r="Y3"/>
      <c r="Z3"/>
      <c r="AA3"/>
      <c r="AB3"/>
    </row>
    <row r="4" spans="1:31" s="5" customFormat="1" ht="15.75" x14ac:dyDescent="0.25">
      <c r="A4" s="106"/>
      <c r="B4" s="4"/>
      <c r="C4" s="85" t="s">
        <v>202</v>
      </c>
      <c r="E4" s="85" t="s">
        <v>86</v>
      </c>
      <c r="F4" s="86"/>
      <c r="G4" s="85"/>
      <c r="H4"/>
      <c r="I4" s="151" t="s">
        <v>350</v>
      </c>
      <c r="J4" s="98"/>
      <c r="K4" s="87" t="s">
        <v>260</v>
      </c>
      <c r="L4" s="88"/>
      <c r="O4" s="86" t="s">
        <v>294</v>
      </c>
      <c r="P4"/>
      <c r="Q4"/>
      <c r="R4"/>
      <c r="S4" s="85" t="s">
        <v>12</v>
      </c>
      <c r="T4" s="563">
        <f>Prog_16</f>
        <v>0</v>
      </c>
      <c r="U4" s="564"/>
      <c r="V4"/>
      <c r="W4"/>
      <c r="X4"/>
      <c r="Y4"/>
      <c r="Z4"/>
      <c r="AA4"/>
      <c r="AB4"/>
    </row>
    <row r="5" spans="1:31" s="5" customFormat="1" x14ac:dyDescent="0.2">
      <c r="A5" s="106"/>
      <c r="B5" s="4"/>
      <c r="C5" s="54">
        <v>16</v>
      </c>
      <c r="E5" s="589" t="str">
        <f>'Chart Review Info'!C29</f>
        <v>N/A</v>
      </c>
      <c r="F5" s="590"/>
      <c r="G5" s="591"/>
      <c r="H5"/>
      <c r="I5" s="152">
        <f>Consum_16</f>
        <v>0</v>
      </c>
      <c r="J5" s="98"/>
      <c r="K5" s="293">
        <f>'Chart Review Info'!G4</f>
        <v>0</v>
      </c>
      <c r="L5" s="102" t="s">
        <v>261</v>
      </c>
      <c r="M5" s="293">
        <f>'Chart Review Info'!G5</f>
        <v>0</v>
      </c>
      <c r="O5" s="54">
        <f>'Chart Review Info'!G29</f>
        <v>0</v>
      </c>
      <c r="P5"/>
      <c r="Q5"/>
      <c r="R5"/>
      <c r="S5"/>
      <c r="T5"/>
      <c r="V5"/>
      <c r="W5"/>
      <c r="X5"/>
      <c r="Y5" s="6" t="s">
        <v>514</v>
      </c>
      <c r="Z5"/>
      <c r="AA5"/>
      <c r="AB5"/>
    </row>
    <row r="6" spans="1:31" x14ac:dyDescent="0.2">
      <c r="C6" s="154"/>
      <c r="D6" s="158"/>
      <c r="E6" s="155"/>
      <c r="F6" s="155"/>
      <c r="G6" s="155"/>
      <c r="H6" s="155"/>
      <c r="I6" s="155"/>
      <c r="J6" s="155"/>
      <c r="K6" s="155"/>
      <c r="L6" s="155"/>
      <c r="M6" s="155"/>
      <c r="N6" s="155"/>
      <c r="O6" s="155"/>
      <c r="P6" s="155"/>
      <c r="Q6" s="155"/>
      <c r="R6" s="155"/>
      <c r="T6" s="1"/>
      <c r="W6" s="51"/>
      <c r="Y6" s="329">
        <f>SUM(Y9:Y16)</f>
        <v>0</v>
      </c>
      <c r="AA6" s="13"/>
      <c r="AB6" s="13"/>
    </row>
    <row r="7" spans="1:31" ht="23.25" x14ac:dyDescent="0.25">
      <c r="C7" s="89" t="s">
        <v>262</v>
      </c>
      <c r="D7" s="159"/>
      <c r="E7" s="90"/>
      <c r="F7" s="90"/>
      <c r="G7" s="90"/>
      <c r="H7" s="90"/>
      <c r="I7" s="90"/>
      <c r="J7" s="90"/>
      <c r="K7" s="90"/>
      <c r="L7" s="90"/>
      <c r="M7" s="90"/>
      <c r="N7" s="90"/>
      <c r="O7" s="90"/>
      <c r="P7" s="90"/>
      <c r="S7" s="20"/>
      <c r="T7" s="21"/>
      <c r="U7" s="21"/>
      <c r="V7" s="21"/>
      <c r="W7" s="21"/>
      <c r="X7" s="160" t="s">
        <v>263</v>
      </c>
      <c r="Y7" s="160"/>
      <c r="Z7" s="160"/>
      <c r="AA7" s="22"/>
      <c r="AB7" s="23"/>
    </row>
    <row r="8" spans="1:31" ht="27" customHeight="1" x14ac:dyDescent="0.25">
      <c r="C8" s="91" t="s">
        <v>264</v>
      </c>
      <c r="D8" s="588" t="s">
        <v>68</v>
      </c>
      <c r="E8" s="574"/>
      <c r="F8" s="574"/>
      <c r="G8" s="574"/>
      <c r="H8" s="574"/>
      <c r="I8" s="574"/>
      <c r="J8" s="574"/>
      <c r="K8" s="574"/>
      <c r="L8" s="574"/>
      <c r="M8" s="574"/>
      <c r="N8" s="574"/>
      <c r="O8" s="92" t="s">
        <v>265</v>
      </c>
      <c r="P8" s="92" t="s">
        <v>266</v>
      </c>
      <c r="Q8" s="359"/>
      <c r="R8" s="351"/>
      <c r="S8" s="7" t="s">
        <v>449</v>
      </c>
      <c r="T8" s="9" t="s">
        <v>87</v>
      </c>
      <c r="U8" s="7" t="s">
        <v>88</v>
      </c>
      <c r="V8" s="7" t="s">
        <v>89</v>
      </c>
      <c r="W8" s="7" t="s">
        <v>90</v>
      </c>
      <c r="X8" s="7" t="s">
        <v>644</v>
      </c>
      <c r="Y8" s="8" t="s">
        <v>201</v>
      </c>
      <c r="Z8" s="116" t="s">
        <v>91</v>
      </c>
      <c r="AA8" s="117" t="s">
        <v>95</v>
      </c>
      <c r="AB8" s="117" t="s">
        <v>92</v>
      </c>
    </row>
    <row r="9" spans="1:31" ht="60" customHeight="1" x14ac:dyDescent="0.2">
      <c r="A9" s="212" t="s">
        <v>73</v>
      </c>
      <c r="B9" s="93"/>
      <c r="C9" s="94" t="s">
        <v>204</v>
      </c>
      <c r="D9" s="567" t="s">
        <v>658</v>
      </c>
      <c r="E9" s="470"/>
      <c r="F9" s="470"/>
      <c r="G9" s="470"/>
      <c r="H9" s="470"/>
      <c r="I9" s="470"/>
      <c r="J9" s="470"/>
      <c r="K9" s="470"/>
      <c r="L9" s="470"/>
      <c r="M9" s="470"/>
      <c r="N9" s="471"/>
      <c r="O9" s="71"/>
      <c r="P9" s="95" t="str">
        <f t="shared" ref="P9:P12" si="0">IF(O9="","",IF(O9="Yes","Pass",IF(O9="No","Fail","N/A")))</f>
        <v/>
      </c>
      <c r="Q9" s="173"/>
      <c r="R9" s="173"/>
      <c r="S9" s="124"/>
      <c r="T9" s="125"/>
      <c r="U9" s="125"/>
      <c r="V9" s="125"/>
      <c r="W9" s="126"/>
      <c r="X9" s="125"/>
      <c r="Y9" s="127"/>
      <c r="Z9" s="128"/>
      <c r="AA9" s="129"/>
      <c r="AB9" s="130"/>
      <c r="AC9" s="96"/>
      <c r="AD9" s="96"/>
      <c r="AE9" s="96"/>
    </row>
    <row r="10" spans="1:31" ht="87" customHeight="1" x14ac:dyDescent="0.2">
      <c r="A10" s="107">
        <v>1</v>
      </c>
      <c r="B10" s="93"/>
      <c r="C10" s="94" t="s">
        <v>205</v>
      </c>
      <c r="D10" s="567" t="s">
        <v>528</v>
      </c>
      <c r="E10" s="586"/>
      <c r="F10" s="586"/>
      <c r="G10" s="586"/>
      <c r="H10" s="586"/>
      <c r="I10" s="586"/>
      <c r="J10" s="586"/>
      <c r="K10" s="586"/>
      <c r="L10" s="586"/>
      <c r="M10" s="586"/>
      <c r="N10" s="587"/>
      <c r="O10" s="71"/>
      <c r="P10" s="95" t="str">
        <f t="shared" si="0"/>
        <v/>
      </c>
      <c r="Q10" s="173"/>
      <c r="R10" s="173"/>
      <c r="S10" s="124"/>
      <c r="T10" s="124"/>
      <c r="U10" s="124"/>
      <c r="V10" s="125"/>
      <c r="W10" s="131"/>
      <c r="X10" s="124"/>
      <c r="Y10" s="127"/>
      <c r="Z10" s="128"/>
      <c r="AA10" s="129"/>
      <c r="AB10" s="129"/>
    </row>
    <row r="11" spans="1:31" ht="50.25" customHeight="1" x14ac:dyDescent="0.2">
      <c r="A11" s="107" t="s">
        <v>70</v>
      </c>
      <c r="B11" s="93"/>
      <c r="C11" s="94" t="s">
        <v>206</v>
      </c>
      <c r="D11" s="567" t="s">
        <v>529</v>
      </c>
      <c r="E11" s="586"/>
      <c r="F11" s="586"/>
      <c r="G11" s="586"/>
      <c r="H11" s="586"/>
      <c r="I11" s="586"/>
      <c r="J11" s="586"/>
      <c r="K11" s="586"/>
      <c r="L11" s="586"/>
      <c r="M11" s="586"/>
      <c r="N11" s="587"/>
      <c r="O11" s="71"/>
      <c r="P11" s="95" t="str">
        <f t="shared" si="0"/>
        <v/>
      </c>
      <c r="Q11" s="173"/>
      <c r="R11" s="173"/>
      <c r="S11" s="124"/>
      <c r="T11" s="124"/>
      <c r="U11" s="124"/>
      <c r="V11" s="125"/>
      <c r="W11" s="131"/>
      <c r="X11" s="124"/>
      <c r="Y11" s="127"/>
      <c r="Z11" s="128"/>
      <c r="AA11" s="129"/>
      <c r="AB11" s="129"/>
    </row>
    <row r="12" spans="1:31" ht="33.75" customHeight="1" x14ac:dyDescent="0.2">
      <c r="A12" s="106">
        <v>1</v>
      </c>
      <c r="C12" s="94" t="s">
        <v>207</v>
      </c>
      <c r="D12" s="567" t="s">
        <v>659</v>
      </c>
      <c r="E12" s="586"/>
      <c r="F12" s="586"/>
      <c r="G12" s="586"/>
      <c r="H12" s="586"/>
      <c r="I12" s="586"/>
      <c r="J12" s="586"/>
      <c r="K12" s="586"/>
      <c r="L12" s="586"/>
      <c r="M12" s="586"/>
      <c r="N12" s="587"/>
      <c r="O12" s="71"/>
      <c r="P12" s="95" t="str">
        <f t="shared" si="0"/>
        <v/>
      </c>
      <c r="Q12" s="173"/>
      <c r="R12" s="173"/>
      <c r="S12" s="124"/>
      <c r="T12" s="124"/>
      <c r="U12" s="124"/>
      <c r="V12" s="125"/>
      <c r="W12" s="131"/>
      <c r="X12" s="124"/>
      <c r="Y12" s="127"/>
      <c r="Z12" s="128"/>
      <c r="AA12" s="129"/>
      <c r="AB12" s="129"/>
    </row>
    <row r="13" spans="1:31" ht="36" customHeight="1" x14ac:dyDescent="0.2">
      <c r="A13" s="107">
        <v>1</v>
      </c>
      <c r="B13" s="93"/>
      <c r="C13" s="97" t="s">
        <v>208</v>
      </c>
      <c r="D13" s="567" t="s">
        <v>656</v>
      </c>
      <c r="E13" s="470"/>
      <c r="F13" s="470"/>
      <c r="G13" s="470"/>
      <c r="H13" s="470"/>
      <c r="I13" s="470"/>
      <c r="J13" s="470"/>
      <c r="K13" s="470"/>
      <c r="L13" s="470"/>
      <c r="M13" s="470"/>
      <c r="N13" s="471"/>
      <c r="O13" s="71"/>
      <c r="P13" s="95" t="str">
        <f t="shared" ref="P13:P19" si="1">IF(O13="","",IF(O13="Yes","Pass",IF(O13="No","Fail","N/A")))</f>
        <v/>
      </c>
      <c r="Q13" s="173"/>
      <c r="R13" s="173"/>
      <c r="S13" s="124"/>
      <c r="T13" s="124"/>
      <c r="U13" s="124"/>
      <c r="V13" s="125"/>
      <c r="W13" s="131"/>
      <c r="X13" s="124"/>
      <c r="Y13" s="127"/>
      <c r="Z13" s="128"/>
      <c r="AA13" s="129"/>
      <c r="AB13" s="129"/>
    </row>
    <row r="14" spans="1:31" ht="46.5" customHeight="1" x14ac:dyDescent="0.2">
      <c r="A14" s="107" t="s">
        <v>70</v>
      </c>
      <c r="B14" s="93"/>
      <c r="C14" s="97" t="s">
        <v>209</v>
      </c>
      <c r="D14" s="567" t="s">
        <v>530</v>
      </c>
      <c r="E14" s="586"/>
      <c r="F14" s="586"/>
      <c r="G14" s="586"/>
      <c r="H14" s="586"/>
      <c r="I14" s="586"/>
      <c r="J14" s="586"/>
      <c r="K14" s="586"/>
      <c r="L14" s="586"/>
      <c r="M14" s="586"/>
      <c r="N14" s="587"/>
      <c r="O14" s="71"/>
      <c r="P14" s="95" t="str">
        <f t="shared" si="1"/>
        <v/>
      </c>
      <c r="Q14" s="173"/>
      <c r="R14" s="173"/>
      <c r="S14" s="124"/>
      <c r="T14" s="124"/>
      <c r="U14" s="124"/>
      <c r="V14" s="125"/>
      <c r="W14" s="131"/>
      <c r="X14" s="124"/>
      <c r="Y14" s="127"/>
      <c r="Z14" s="128"/>
      <c r="AA14" s="129"/>
      <c r="AB14" s="129"/>
    </row>
    <row r="15" spans="1:31" ht="49.5" customHeight="1" x14ac:dyDescent="0.2">
      <c r="A15" s="107">
        <v>1</v>
      </c>
      <c r="B15" s="93"/>
      <c r="C15" s="94" t="s">
        <v>210</v>
      </c>
      <c r="D15" s="567" t="s">
        <v>531</v>
      </c>
      <c r="E15" s="586"/>
      <c r="F15" s="586"/>
      <c r="G15" s="586"/>
      <c r="H15" s="586"/>
      <c r="I15" s="586"/>
      <c r="J15" s="586"/>
      <c r="K15" s="586"/>
      <c r="L15" s="586"/>
      <c r="M15" s="586"/>
      <c r="N15" s="587"/>
      <c r="O15" s="71"/>
      <c r="P15" s="95" t="str">
        <f t="shared" si="1"/>
        <v/>
      </c>
      <c r="Q15" s="173"/>
      <c r="R15" s="173"/>
      <c r="S15" s="124"/>
      <c r="T15" s="124"/>
      <c r="U15" s="124"/>
      <c r="V15" s="125"/>
      <c r="W15" s="131"/>
      <c r="X15" s="124"/>
      <c r="Y15" s="127"/>
      <c r="Z15" s="128"/>
      <c r="AA15" s="129"/>
      <c r="AB15" s="129"/>
    </row>
    <row r="16" spans="1:31" ht="66.75" customHeight="1" x14ac:dyDescent="0.2">
      <c r="A16" s="106">
        <v>1</v>
      </c>
      <c r="C16" s="97" t="s">
        <v>211</v>
      </c>
      <c r="D16" s="567" t="s">
        <v>532</v>
      </c>
      <c r="E16" s="586"/>
      <c r="F16" s="586"/>
      <c r="G16" s="586"/>
      <c r="H16" s="586"/>
      <c r="I16" s="586"/>
      <c r="J16" s="586"/>
      <c r="K16" s="586"/>
      <c r="L16" s="586"/>
      <c r="M16" s="586"/>
      <c r="N16" s="587"/>
      <c r="O16" s="71"/>
      <c r="P16" s="95" t="str">
        <f t="shared" si="1"/>
        <v/>
      </c>
      <c r="Q16" s="173"/>
      <c r="R16" s="173"/>
      <c r="S16" s="124"/>
      <c r="T16" s="124"/>
      <c r="U16" s="124"/>
      <c r="V16" s="125"/>
      <c r="W16" s="131"/>
      <c r="X16" s="124"/>
      <c r="Y16" s="127"/>
      <c r="Z16" s="128"/>
      <c r="AA16" s="129"/>
      <c r="AB16" s="129"/>
    </row>
    <row r="17" spans="1:28" ht="39" customHeight="1" x14ac:dyDescent="0.2">
      <c r="A17" s="107" t="s">
        <v>70</v>
      </c>
      <c r="B17" s="93"/>
      <c r="C17" s="97" t="s">
        <v>212</v>
      </c>
      <c r="D17" s="567" t="s">
        <v>533</v>
      </c>
      <c r="E17" s="586"/>
      <c r="F17" s="586"/>
      <c r="G17" s="586"/>
      <c r="H17" s="586"/>
      <c r="I17" s="586"/>
      <c r="J17" s="586"/>
      <c r="K17" s="586"/>
      <c r="L17" s="586"/>
      <c r="M17" s="586"/>
      <c r="N17" s="587"/>
      <c r="O17" s="71"/>
      <c r="P17" s="95" t="str">
        <f t="shared" si="1"/>
        <v/>
      </c>
      <c r="Q17" s="173"/>
      <c r="R17" s="173"/>
      <c r="S17" s="124"/>
      <c r="T17" s="124"/>
      <c r="U17" s="124"/>
      <c r="V17" s="125"/>
      <c r="W17" s="131"/>
      <c r="X17" s="124"/>
      <c r="Y17" s="127"/>
      <c r="Z17" s="128"/>
      <c r="AA17" s="129"/>
      <c r="AB17" s="129"/>
    </row>
    <row r="18" spans="1:28" ht="83.25" customHeight="1" x14ac:dyDescent="0.2">
      <c r="A18" s="107" t="s">
        <v>70</v>
      </c>
      <c r="B18" s="93"/>
      <c r="C18" s="94" t="s">
        <v>657</v>
      </c>
      <c r="D18" s="567" t="s">
        <v>534</v>
      </c>
      <c r="E18" s="586"/>
      <c r="F18" s="586"/>
      <c r="G18" s="586"/>
      <c r="H18" s="586"/>
      <c r="I18" s="586"/>
      <c r="J18" s="586"/>
      <c r="K18" s="586"/>
      <c r="L18" s="586"/>
      <c r="M18" s="586"/>
      <c r="N18" s="587"/>
      <c r="O18" s="71"/>
      <c r="P18" s="95" t="str">
        <f t="shared" si="1"/>
        <v/>
      </c>
      <c r="Q18" s="173"/>
      <c r="R18" s="173"/>
      <c r="S18" s="124"/>
      <c r="T18" s="124"/>
      <c r="U18" s="124"/>
      <c r="V18" s="125"/>
      <c r="W18" s="131"/>
      <c r="X18" s="124"/>
      <c r="Y18" s="127"/>
      <c r="Z18" s="128"/>
      <c r="AA18" s="129"/>
      <c r="AB18" s="129"/>
    </row>
    <row r="19" spans="1:28" ht="47.25" customHeight="1" x14ac:dyDescent="0.2">
      <c r="A19" s="107" t="s">
        <v>81</v>
      </c>
      <c r="B19" s="93"/>
      <c r="C19" s="391" t="s">
        <v>213</v>
      </c>
      <c r="D19" s="571" t="s">
        <v>535</v>
      </c>
      <c r="E19" s="572"/>
      <c r="F19" s="572"/>
      <c r="G19" s="572"/>
      <c r="H19" s="572"/>
      <c r="I19" s="572"/>
      <c r="J19" s="572"/>
      <c r="K19" s="572"/>
      <c r="L19" s="572"/>
      <c r="M19" s="572"/>
      <c r="N19" s="572"/>
      <c r="O19" s="71"/>
      <c r="P19" s="95" t="str">
        <f t="shared" si="1"/>
        <v/>
      </c>
      <c r="Q19" s="173"/>
      <c r="R19" s="173"/>
      <c r="S19" s="124"/>
      <c r="T19" s="124"/>
      <c r="U19" s="124"/>
      <c r="V19" s="125"/>
      <c r="W19" s="131"/>
      <c r="X19" s="124"/>
      <c r="Y19" s="127"/>
      <c r="Z19" s="128"/>
      <c r="AA19" s="129"/>
      <c r="AB19" s="129"/>
    </row>
    <row r="20" spans="1:28" ht="22.5" customHeight="1" x14ac:dyDescent="0.2">
      <c r="A20" s="106">
        <v>1</v>
      </c>
      <c r="B20" s="93"/>
      <c r="C20" s="575" t="s">
        <v>267</v>
      </c>
      <c r="D20" s="470"/>
      <c r="E20" s="470"/>
      <c r="F20" s="470"/>
      <c r="G20" s="470"/>
      <c r="H20" s="470"/>
      <c r="I20" s="470"/>
      <c r="J20" s="470"/>
      <c r="K20" s="470"/>
      <c r="L20" s="470"/>
      <c r="M20" s="470"/>
      <c r="N20" s="470"/>
      <c r="O20"/>
      <c r="P20" s="392"/>
      <c r="Q20" s="174"/>
      <c r="R20" s="174"/>
      <c r="S20" s="124"/>
      <c r="T20" s="124"/>
      <c r="U20" s="124"/>
      <c r="V20" s="125"/>
      <c r="W20" s="131"/>
      <c r="X20" s="124"/>
      <c r="Y20" s="127"/>
      <c r="Z20" s="128"/>
      <c r="AA20" s="129"/>
      <c r="AB20" s="129"/>
    </row>
    <row r="21" spans="1:28" ht="30.75" customHeight="1" x14ac:dyDescent="0.2">
      <c r="A21" s="107" t="s">
        <v>73</v>
      </c>
      <c r="C21" s="581" t="s">
        <v>17</v>
      </c>
      <c r="D21" s="470"/>
      <c r="E21" s="470"/>
      <c r="F21" s="470"/>
      <c r="G21" s="470"/>
      <c r="H21" s="470"/>
      <c r="I21" s="470"/>
      <c r="J21" s="470"/>
      <c r="K21" s="470"/>
      <c r="L21" s="470"/>
      <c r="M21" s="470"/>
      <c r="N21" s="471"/>
      <c r="O21" s="345"/>
      <c r="P21" s="343"/>
      <c r="Q21" s="172"/>
      <c r="R21" s="172"/>
      <c r="S21" s="124"/>
      <c r="T21" s="124"/>
      <c r="U21" s="124"/>
      <c r="V21" s="125"/>
      <c r="W21" s="131"/>
      <c r="X21" s="124"/>
      <c r="Y21" s="132"/>
      <c r="Z21" s="128"/>
      <c r="AA21" s="129"/>
      <c r="AB21" s="129"/>
    </row>
    <row r="22" spans="1:28" ht="18" customHeight="1" x14ac:dyDescent="0.25">
      <c r="C22" s="100" t="s">
        <v>264</v>
      </c>
      <c r="D22" s="573" t="s">
        <v>71</v>
      </c>
      <c r="E22" s="574"/>
      <c r="F22" s="574"/>
      <c r="G22" s="574"/>
      <c r="H22" s="574"/>
      <c r="I22" s="574"/>
      <c r="J22" s="574"/>
      <c r="K22" s="574"/>
      <c r="L22" s="574"/>
      <c r="M22" s="574"/>
      <c r="N22" s="440"/>
      <c r="O22" s="101" t="s">
        <v>265</v>
      </c>
      <c r="P22" s="101" t="s">
        <v>266</v>
      </c>
      <c r="Q22" s="359"/>
      <c r="R22" s="175"/>
      <c r="S22" s="124"/>
      <c r="T22" s="124"/>
      <c r="U22" s="124"/>
      <c r="V22" s="125"/>
      <c r="W22" s="131"/>
      <c r="X22" s="124"/>
      <c r="Y22" s="127"/>
      <c r="Z22" s="128"/>
      <c r="AA22" s="129"/>
      <c r="AB22" s="129"/>
    </row>
    <row r="23" spans="1:28" ht="18" customHeight="1" x14ac:dyDescent="0.2">
      <c r="A23" s="106">
        <v>1</v>
      </c>
      <c r="C23" s="102" t="s">
        <v>215</v>
      </c>
      <c r="D23" s="567" t="s">
        <v>268</v>
      </c>
      <c r="E23" s="470"/>
      <c r="F23" s="470"/>
      <c r="G23" s="470"/>
      <c r="H23" s="470"/>
      <c r="I23" s="470"/>
      <c r="J23" s="470"/>
      <c r="K23" s="470"/>
      <c r="L23" s="470"/>
      <c r="M23" s="470"/>
      <c r="N23" s="471"/>
      <c r="O23" s="71"/>
      <c r="P23" s="95" t="str">
        <f>IF(O23="","",IF(O23="Yes","Pass",IF(O23="No","Fail","N/A")))</f>
        <v/>
      </c>
      <c r="Q23" s="173"/>
      <c r="R23" s="173"/>
      <c r="S23" s="124"/>
      <c r="T23" s="124"/>
      <c r="U23" s="124"/>
      <c r="V23" s="125"/>
      <c r="W23" s="131"/>
      <c r="X23" s="124"/>
      <c r="Y23" s="127"/>
      <c r="Z23" s="128"/>
      <c r="AA23" s="129"/>
      <c r="AB23" s="129"/>
    </row>
    <row r="24" spans="1:28" ht="45" customHeight="1" x14ac:dyDescent="0.2">
      <c r="A24" s="107" t="s">
        <v>69</v>
      </c>
      <c r="C24" s="97" t="s">
        <v>216</v>
      </c>
      <c r="D24" s="567" t="s">
        <v>269</v>
      </c>
      <c r="E24" s="470"/>
      <c r="F24" s="470"/>
      <c r="G24" s="470"/>
      <c r="H24" s="470"/>
      <c r="I24" s="470"/>
      <c r="J24" s="470"/>
      <c r="K24" s="470"/>
      <c r="L24" s="470"/>
      <c r="M24" s="470"/>
      <c r="N24" s="471"/>
      <c r="O24" s="71"/>
      <c r="P24" s="95" t="str">
        <f>IF(O24="","",IF(O24="Yes","Pass",IF(O24="No","Fail","N/A")))</f>
        <v/>
      </c>
      <c r="Q24" s="173"/>
      <c r="R24" s="173"/>
      <c r="S24" s="124"/>
      <c r="T24" s="124"/>
      <c r="U24" s="124"/>
      <c r="V24" s="125"/>
      <c r="W24" s="131"/>
      <c r="X24" s="124"/>
      <c r="Y24" s="127"/>
      <c r="Z24" s="128"/>
      <c r="AA24" s="129"/>
      <c r="AB24" s="129"/>
    </row>
    <row r="25" spans="1:28" ht="45" customHeight="1" x14ac:dyDescent="0.2">
      <c r="A25" s="107" t="s">
        <v>69</v>
      </c>
      <c r="B25" s="93"/>
      <c r="C25" s="97" t="s">
        <v>217</v>
      </c>
      <c r="D25" s="567" t="s">
        <v>270</v>
      </c>
      <c r="E25" s="470"/>
      <c r="F25" s="470"/>
      <c r="G25" s="470"/>
      <c r="H25" s="470"/>
      <c r="I25" s="470"/>
      <c r="J25" s="470"/>
      <c r="K25" s="470"/>
      <c r="L25" s="470"/>
      <c r="M25" s="470"/>
      <c r="N25" s="471"/>
      <c r="O25" s="71"/>
      <c r="P25" s="95" t="str">
        <f>IF(O25="","",IF(O25="Yes","Pass",IF(O25="No","Fail","N/A")))</f>
        <v/>
      </c>
      <c r="Q25" s="173"/>
      <c r="R25" s="173"/>
      <c r="S25" s="124"/>
      <c r="T25" s="124"/>
      <c r="U25" s="124"/>
      <c r="V25" s="125"/>
      <c r="W25" s="131"/>
      <c r="X25" s="124"/>
      <c r="Y25" s="127"/>
      <c r="Z25" s="128"/>
      <c r="AA25" s="129"/>
      <c r="AB25" s="129"/>
    </row>
    <row r="26" spans="1:28" ht="51.75" customHeight="1" x14ac:dyDescent="0.2">
      <c r="A26" s="107" t="s">
        <v>69</v>
      </c>
      <c r="B26" s="93"/>
      <c r="C26" s="97" t="s">
        <v>218</v>
      </c>
      <c r="D26" s="567" t="s">
        <v>271</v>
      </c>
      <c r="E26" s="470"/>
      <c r="F26" s="470"/>
      <c r="G26" s="470"/>
      <c r="H26" s="470"/>
      <c r="I26" s="470"/>
      <c r="J26" s="470"/>
      <c r="K26" s="470"/>
      <c r="L26" s="470"/>
      <c r="M26" s="470"/>
      <c r="N26" s="470"/>
      <c r="O26" s="71"/>
      <c r="P26" s="95" t="str">
        <f>IF(O26="","",IF(O26="Yes","Pass",IF(O26="No","Fail","N/A")))</f>
        <v/>
      </c>
      <c r="Q26" s="173"/>
      <c r="R26" s="173"/>
      <c r="S26" s="124"/>
      <c r="T26" s="124"/>
      <c r="U26" s="124"/>
      <c r="V26" s="125"/>
      <c r="W26" s="131"/>
      <c r="X26" s="124"/>
      <c r="Y26" s="127"/>
      <c r="Z26" s="128"/>
      <c r="AA26" s="129"/>
      <c r="AB26" s="129"/>
    </row>
    <row r="27" spans="1:28" ht="22.5" customHeight="1" x14ac:dyDescent="0.2">
      <c r="A27" s="106">
        <v>1</v>
      </c>
      <c r="B27" s="93"/>
      <c r="C27" s="580" t="s">
        <v>272</v>
      </c>
      <c r="D27" s="470"/>
      <c r="E27" s="470"/>
      <c r="F27" s="470"/>
      <c r="G27" s="470"/>
      <c r="H27" s="470"/>
      <c r="I27" s="470"/>
      <c r="J27" s="470"/>
      <c r="K27" s="470"/>
      <c r="L27" s="470"/>
      <c r="M27" s="470"/>
      <c r="N27" s="470"/>
      <c r="O27" s="341"/>
      <c r="Q27" s="123"/>
      <c r="R27" s="123"/>
      <c r="S27" s="124"/>
      <c r="T27" s="124"/>
      <c r="U27" s="124"/>
      <c r="V27" s="125"/>
      <c r="W27" s="131"/>
      <c r="X27" s="124"/>
      <c r="Y27" s="127"/>
      <c r="Z27" s="128"/>
      <c r="AA27" s="129"/>
      <c r="AB27" s="129"/>
    </row>
    <row r="28" spans="1:28" ht="29.25" customHeight="1" x14ac:dyDescent="0.2">
      <c r="A28" s="107" t="s">
        <v>73</v>
      </c>
      <c r="C28" s="581" t="s">
        <v>17</v>
      </c>
      <c r="D28" s="470"/>
      <c r="E28" s="470"/>
      <c r="F28" s="470"/>
      <c r="G28" s="470"/>
      <c r="H28" s="470"/>
      <c r="I28" s="470"/>
      <c r="J28" s="470"/>
      <c r="K28" s="470"/>
      <c r="L28" s="470"/>
      <c r="M28" s="470"/>
      <c r="N28" s="470"/>
      <c r="O28" s="345"/>
      <c r="P28" s="340"/>
      <c r="Q28" s="123"/>
      <c r="R28" s="123"/>
      <c r="S28" s="124"/>
      <c r="T28" s="124"/>
      <c r="U28" s="124"/>
      <c r="V28" s="125"/>
      <c r="W28" s="131"/>
      <c r="X28" s="133"/>
      <c r="Y28" s="132"/>
      <c r="Z28" s="128"/>
      <c r="AA28" s="129"/>
      <c r="AB28" s="129"/>
    </row>
    <row r="29" spans="1:28" ht="24" customHeight="1" x14ac:dyDescent="0.25">
      <c r="C29" s="100" t="s">
        <v>264</v>
      </c>
      <c r="D29" s="573" t="s">
        <v>465</v>
      </c>
      <c r="E29" s="574"/>
      <c r="F29" s="574"/>
      <c r="G29" s="574"/>
      <c r="H29" s="574"/>
      <c r="I29" s="574"/>
      <c r="J29" s="574"/>
      <c r="K29" s="574"/>
      <c r="L29" s="574"/>
      <c r="M29" s="574"/>
      <c r="N29" s="574"/>
      <c r="O29" s="101" t="s">
        <v>265</v>
      </c>
      <c r="P29" s="101" t="s">
        <v>266</v>
      </c>
      <c r="Q29" s="359"/>
      <c r="R29" s="175"/>
      <c r="S29" s="124"/>
      <c r="T29" s="124"/>
      <c r="U29" s="124"/>
      <c r="V29" s="125"/>
      <c r="W29" s="131"/>
      <c r="X29" s="133"/>
      <c r="Y29" s="132"/>
      <c r="Z29" s="128"/>
      <c r="AA29" s="129"/>
      <c r="AB29" s="129"/>
    </row>
    <row r="30" spans="1:28" ht="66" customHeight="1" x14ac:dyDescent="0.2">
      <c r="A30" s="107" t="s">
        <v>69</v>
      </c>
      <c r="C30" s="102" t="s">
        <v>466</v>
      </c>
      <c r="D30" s="567" t="s">
        <v>467</v>
      </c>
      <c r="E30" s="572"/>
      <c r="F30" s="572"/>
      <c r="G30" s="572"/>
      <c r="H30" s="572"/>
      <c r="I30" s="572"/>
      <c r="J30" s="572"/>
      <c r="K30" s="572"/>
      <c r="L30" s="572"/>
      <c r="M30" s="572"/>
      <c r="N30" s="572"/>
      <c r="O30" s="71"/>
      <c r="P30" s="95" t="str">
        <f t="shared" ref="P30:P31" si="2">IF(O30="","",IF(O30="Yes","Pass",IF(O30="No","Fail","N/A")))</f>
        <v/>
      </c>
      <c r="Q30" s="173"/>
      <c r="R30" s="173"/>
      <c r="S30" s="124"/>
      <c r="T30" s="124"/>
      <c r="U30" s="124"/>
      <c r="V30" s="125"/>
      <c r="W30" s="131"/>
      <c r="X30" s="133"/>
      <c r="Y30" s="132"/>
      <c r="Z30" s="128"/>
      <c r="AA30" s="129"/>
      <c r="AB30" s="129"/>
    </row>
    <row r="31" spans="1:28" ht="33.75" customHeight="1" x14ac:dyDescent="0.2">
      <c r="A31" s="107" t="s">
        <v>73</v>
      </c>
      <c r="B31" s="93"/>
      <c r="C31" s="102" t="s">
        <v>471</v>
      </c>
      <c r="D31" s="579" t="s">
        <v>468</v>
      </c>
      <c r="E31" s="572"/>
      <c r="F31" s="572"/>
      <c r="G31" s="572"/>
      <c r="H31" s="572"/>
      <c r="I31" s="572"/>
      <c r="J31" s="572"/>
      <c r="K31" s="572"/>
      <c r="L31" s="572"/>
      <c r="M31" s="572"/>
      <c r="N31" s="572"/>
      <c r="O31" s="71"/>
      <c r="P31" s="95" t="str">
        <f t="shared" si="2"/>
        <v/>
      </c>
      <c r="Q31" s="173"/>
      <c r="R31" s="173"/>
      <c r="S31" s="124"/>
      <c r="T31" s="124"/>
      <c r="U31" s="124"/>
      <c r="V31" s="125"/>
      <c r="W31" s="131"/>
      <c r="X31" s="133"/>
      <c r="Y31" s="132"/>
      <c r="Z31" s="128"/>
      <c r="AA31" s="129"/>
      <c r="AB31" s="129"/>
    </row>
    <row r="32" spans="1:28" ht="45" customHeight="1" x14ac:dyDescent="0.2">
      <c r="A32" s="107" t="s">
        <v>69</v>
      </c>
      <c r="B32" s="93"/>
      <c r="C32" s="102" t="s">
        <v>472</v>
      </c>
      <c r="D32" s="579" t="s">
        <v>469</v>
      </c>
      <c r="E32" s="572"/>
      <c r="F32" s="572"/>
      <c r="G32" s="572"/>
      <c r="H32" s="572"/>
      <c r="I32" s="572"/>
      <c r="J32" s="572"/>
      <c r="K32" s="572"/>
      <c r="L32" s="572"/>
      <c r="M32" s="572"/>
      <c r="N32" s="572"/>
      <c r="O32" s="71"/>
      <c r="P32" s="95" t="str">
        <f>IF(O32="","",IF(O32="Yes","Pass",IF(O32="No","Fail","N/A")))</f>
        <v/>
      </c>
      <c r="Q32" s="173"/>
      <c r="R32" s="173"/>
      <c r="S32" s="124"/>
      <c r="T32" s="124"/>
      <c r="U32" s="124"/>
      <c r="V32" s="125"/>
      <c r="W32" s="131"/>
      <c r="X32" s="133"/>
      <c r="Y32" s="132"/>
      <c r="Z32" s="128"/>
      <c r="AA32" s="129"/>
      <c r="AB32" s="129"/>
    </row>
    <row r="33" spans="1:28" ht="30" customHeight="1" x14ac:dyDescent="0.2">
      <c r="A33" s="107" t="s">
        <v>70</v>
      </c>
      <c r="B33" s="93"/>
      <c r="C33" s="102" t="s">
        <v>473</v>
      </c>
      <c r="D33" s="579" t="s">
        <v>470</v>
      </c>
      <c r="E33" s="572"/>
      <c r="F33" s="572"/>
      <c r="G33" s="572"/>
      <c r="H33" s="572"/>
      <c r="I33" s="572"/>
      <c r="J33" s="572"/>
      <c r="K33" s="572"/>
      <c r="L33" s="572"/>
      <c r="M33" s="572"/>
      <c r="N33" s="572"/>
      <c r="O33" s="71"/>
      <c r="P33" s="95" t="str">
        <f>IF(O33="","",IF(O33="Yes","Pass",IF(O33="No","Fail","N/A")))</f>
        <v/>
      </c>
      <c r="Q33" s="173"/>
      <c r="R33" s="173"/>
      <c r="S33" s="124"/>
      <c r="T33" s="124"/>
      <c r="U33" s="124"/>
      <c r="V33" s="125"/>
      <c r="W33" s="131"/>
      <c r="X33" s="133"/>
      <c r="Y33" s="132"/>
      <c r="Z33" s="128"/>
      <c r="AA33" s="129"/>
      <c r="AB33" s="129"/>
    </row>
    <row r="34" spans="1:28" ht="24" customHeight="1" x14ac:dyDescent="0.2">
      <c r="A34" s="107" t="s">
        <v>69</v>
      </c>
      <c r="B34" s="93"/>
      <c r="C34" s="580" t="s">
        <v>545</v>
      </c>
      <c r="D34" s="470"/>
      <c r="E34" s="470"/>
      <c r="F34" s="470"/>
      <c r="G34" s="470"/>
      <c r="H34" s="470"/>
      <c r="I34" s="470"/>
      <c r="J34" s="470"/>
      <c r="K34" s="470"/>
      <c r="L34" s="470"/>
      <c r="M34" s="470"/>
      <c r="N34" s="470"/>
      <c r="O34" s="341"/>
      <c r="Q34" s="359"/>
      <c r="S34" s="124"/>
      <c r="T34" s="124"/>
      <c r="U34" s="124"/>
      <c r="V34" s="125"/>
      <c r="W34" s="131"/>
      <c r="X34" s="133"/>
      <c r="Y34" s="132"/>
      <c r="Z34" s="128"/>
      <c r="AA34" s="129"/>
      <c r="AB34" s="129"/>
    </row>
    <row r="35" spans="1:28" ht="27.75" customHeight="1" x14ac:dyDescent="0.2">
      <c r="A35" s="107" t="s">
        <v>69</v>
      </c>
      <c r="B35" s="93"/>
      <c r="C35" s="581" t="s">
        <v>17</v>
      </c>
      <c r="D35" s="470"/>
      <c r="E35" s="470"/>
      <c r="F35" s="470"/>
      <c r="G35" s="470"/>
      <c r="H35" s="470"/>
      <c r="I35" s="470"/>
      <c r="J35" s="470"/>
      <c r="K35" s="470"/>
      <c r="L35" s="470"/>
      <c r="M35" s="470"/>
      <c r="N35" s="470"/>
      <c r="O35" s="345"/>
      <c r="Q35" s="173"/>
      <c r="R35"/>
      <c r="U35"/>
      <c r="V35"/>
      <c r="W35"/>
      <c r="X35"/>
      <c r="Y35"/>
      <c r="Z35"/>
      <c r="AA35"/>
      <c r="AB35"/>
    </row>
    <row r="36" spans="1:28" ht="24.75" customHeight="1" x14ac:dyDescent="0.25">
      <c r="A36" s="107" t="s">
        <v>70</v>
      </c>
      <c r="B36" s="93"/>
      <c r="C36" s="100" t="s">
        <v>264</v>
      </c>
      <c r="D36" s="573" t="s">
        <v>72</v>
      </c>
      <c r="E36" s="574"/>
      <c r="F36" s="574"/>
      <c r="G36" s="574"/>
      <c r="H36" s="574"/>
      <c r="I36" s="574"/>
      <c r="J36" s="574"/>
      <c r="K36" s="574"/>
      <c r="L36" s="574"/>
      <c r="M36" s="574"/>
      <c r="N36" s="440"/>
      <c r="O36" s="101" t="s">
        <v>265</v>
      </c>
      <c r="P36" s="101" t="s">
        <v>266</v>
      </c>
      <c r="Q36" s="173"/>
      <c r="R36"/>
      <c r="U36"/>
      <c r="V36"/>
      <c r="W36"/>
      <c r="X36"/>
      <c r="Y36"/>
      <c r="Z36"/>
      <c r="AA36"/>
      <c r="AB36"/>
    </row>
    <row r="37" spans="1:28" ht="31.5" customHeight="1" x14ac:dyDescent="0.2">
      <c r="A37" s="107" t="s">
        <v>73</v>
      </c>
      <c r="B37" s="93"/>
      <c r="C37" s="103" t="s">
        <v>220</v>
      </c>
      <c r="D37" s="445" t="s">
        <v>544</v>
      </c>
      <c r="E37" s="568"/>
      <c r="F37" s="568"/>
      <c r="G37" s="568"/>
      <c r="H37" s="568"/>
      <c r="I37" s="568"/>
      <c r="J37" s="568"/>
      <c r="K37" s="568"/>
      <c r="L37" s="568"/>
      <c r="M37" s="568"/>
      <c r="N37" s="569"/>
      <c r="O37" s="71"/>
      <c r="P37" s="95" t="str">
        <f>IF(O37="","",IF(O37="Yes","Pass",IF(O37="No","Fail","N/A")))</f>
        <v/>
      </c>
      <c r="Q37" s="173"/>
      <c r="R37"/>
      <c r="U37"/>
      <c r="V37"/>
      <c r="W37"/>
      <c r="X37"/>
      <c r="Y37"/>
      <c r="Z37"/>
      <c r="AA37"/>
      <c r="AB37"/>
    </row>
    <row r="38" spans="1:28" ht="30" customHeight="1" x14ac:dyDescent="0.2">
      <c r="A38" s="107" t="s">
        <v>70</v>
      </c>
      <c r="B38" s="93"/>
      <c r="C38" s="185"/>
      <c r="D38" s="296" t="s">
        <v>351</v>
      </c>
      <c r="E38" s="297"/>
      <c r="F38" s="298"/>
      <c r="G38" s="299"/>
      <c r="I38" s="300" t="s">
        <v>352</v>
      </c>
      <c r="J38" s="299"/>
      <c r="K38" s="301" t="s">
        <v>353</v>
      </c>
      <c r="L38" s="191"/>
      <c r="M38" s="302"/>
      <c r="N38" s="303" t="e">
        <f>J38/G38</f>
        <v>#DIV/0!</v>
      </c>
      <c r="Q38" s="173"/>
      <c r="R38"/>
      <c r="U38"/>
      <c r="V38"/>
      <c r="W38"/>
      <c r="X38"/>
      <c r="Y38"/>
      <c r="Z38"/>
      <c r="AA38"/>
      <c r="AB38"/>
    </row>
    <row r="39" spans="1:28" ht="38.25" customHeight="1" x14ac:dyDescent="0.2">
      <c r="A39" s="107" t="s">
        <v>73</v>
      </c>
      <c r="B39" s="93"/>
      <c r="C39" s="97" t="s">
        <v>133</v>
      </c>
      <c r="D39" s="579" t="s">
        <v>645</v>
      </c>
      <c r="E39" s="572"/>
      <c r="F39" s="572"/>
      <c r="G39" s="572"/>
      <c r="H39" s="572"/>
      <c r="I39" s="572"/>
      <c r="J39" s="572"/>
      <c r="K39" s="572"/>
      <c r="L39" s="572"/>
      <c r="M39" s="572"/>
      <c r="N39" s="572"/>
      <c r="O39" s="71"/>
      <c r="P39" s="95" t="str">
        <f t="shared" ref="P39:P49" si="3">IF(O39="","",IF(O39="Yes","Pass",IF(O39="No","Fail","N/A")))</f>
        <v/>
      </c>
      <c r="Q39" s="173"/>
      <c r="R39"/>
      <c r="U39"/>
      <c r="V39"/>
      <c r="W39"/>
      <c r="X39"/>
      <c r="Y39"/>
      <c r="Z39"/>
      <c r="AA39"/>
      <c r="AB39"/>
    </row>
    <row r="40" spans="1:28" ht="30" customHeight="1" x14ac:dyDescent="0.2">
      <c r="A40" s="107" t="s">
        <v>70</v>
      </c>
      <c r="B40" s="93"/>
      <c r="C40" s="97" t="s">
        <v>221</v>
      </c>
      <c r="D40" s="579" t="s">
        <v>536</v>
      </c>
      <c r="E40" s="470"/>
      <c r="F40" s="470"/>
      <c r="G40" s="470"/>
      <c r="H40" s="470"/>
      <c r="I40" s="470"/>
      <c r="J40" s="470"/>
      <c r="K40" s="470"/>
      <c r="L40" s="470"/>
      <c r="M40" s="470"/>
      <c r="N40" s="470"/>
      <c r="O40" s="71"/>
      <c r="P40" s="95" t="str">
        <f t="shared" si="3"/>
        <v/>
      </c>
      <c r="Q40" s="173"/>
      <c r="R40"/>
      <c r="U40"/>
      <c r="V40"/>
      <c r="W40"/>
      <c r="X40"/>
      <c r="Y40"/>
      <c r="Z40"/>
      <c r="AA40"/>
      <c r="AB40"/>
    </row>
    <row r="41" spans="1:28" ht="41.25" customHeight="1" x14ac:dyDescent="0.2">
      <c r="A41" s="107">
        <v>1</v>
      </c>
      <c r="B41" s="93"/>
      <c r="C41" s="103" t="s">
        <v>222</v>
      </c>
      <c r="D41" s="445" t="s">
        <v>537</v>
      </c>
      <c r="E41" s="568"/>
      <c r="F41" s="568"/>
      <c r="G41" s="568"/>
      <c r="H41" s="568"/>
      <c r="I41" s="568"/>
      <c r="J41" s="568"/>
      <c r="K41" s="568"/>
      <c r="L41" s="568"/>
      <c r="M41" s="568"/>
      <c r="N41" s="569"/>
      <c r="O41" s="71"/>
      <c r="P41" s="95" t="str">
        <f t="shared" si="3"/>
        <v/>
      </c>
      <c r="Q41" s="173"/>
      <c r="R41"/>
      <c r="U41"/>
      <c r="V41"/>
      <c r="W41"/>
      <c r="X41"/>
      <c r="Y41"/>
      <c r="Z41"/>
      <c r="AA41"/>
      <c r="AB41"/>
    </row>
    <row r="42" spans="1:28" ht="34.5" customHeight="1" x14ac:dyDescent="0.2">
      <c r="A42" s="107"/>
      <c r="B42" s="93"/>
      <c r="C42" s="97" t="s">
        <v>223</v>
      </c>
      <c r="D42" s="445" t="s">
        <v>538</v>
      </c>
      <c r="E42" s="568"/>
      <c r="F42" s="568"/>
      <c r="G42" s="568"/>
      <c r="H42" s="568"/>
      <c r="I42" s="568"/>
      <c r="J42" s="568"/>
      <c r="K42" s="568"/>
      <c r="L42" s="568"/>
      <c r="M42" s="568"/>
      <c r="N42" s="569"/>
      <c r="O42" s="71"/>
      <c r="P42" s="95" t="str">
        <f t="shared" si="3"/>
        <v/>
      </c>
      <c r="Q42" s="173"/>
      <c r="R42"/>
      <c r="U42"/>
      <c r="V42"/>
      <c r="W42"/>
      <c r="X42"/>
      <c r="Y42"/>
      <c r="Z42"/>
      <c r="AA42"/>
      <c r="AB42"/>
    </row>
    <row r="43" spans="1:28" ht="33" customHeight="1" x14ac:dyDescent="0.2">
      <c r="A43" s="106">
        <v>1</v>
      </c>
      <c r="B43" s="93"/>
      <c r="C43" s="97" t="s">
        <v>224</v>
      </c>
      <c r="D43" s="445" t="s">
        <v>273</v>
      </c>
      <c r="E43" s="568"/>
      <c r="F43" s="568"/>
      <c r="G43" s="568"/>
      <c r="H43" s="568"/>
      <c r="I43" s="568"/>
      <c r="J43" s="568"/>
      <c r="K43" s="568"/>
      <c r="L43" s="568"/>
      <c r="M43" s="568"/>
      <c r="N43" s="569"/>
      <c r="O43" s="71"/>
      <c r="P43" s="95" t="str">
        <f t="shared" si="3"/>
        <v/>
      </c>
      <c r="Q43" s="173"/>
      <c r="R43"/>
      <c r="U43"/>
      <c r="V43"/>
      <c r="W43"/>
      <c r="X43"/>
      <c r="Y43"/>
      <c r="Z43"/>
      <c r="AA43"/>
      <c r="AB43"/>
    </row>
    <row r="44" spans="1:28" ht="35.25" customHeight="1" x14ac:dyDescent="0.2">
      <c r="A44" s="107" t="s">
        <v>73</v>
      </c>
      <c r="C44" s="103" t="s">
        <v>225</v>
      </c>
      <c r="D44" s="567" t="s">
        <v>274</v>
      </c>
      <c r="E44" s="470"/>
      <c r="F44" s="470"/>
      <c r="G44" s="470"/>
      <c r="H44" s="470"/>
      <c r="I44" s="470"/>
      <c r="J44" s="470"/>
      <c r="K44" s="470"/>
      <c r="L44" s="470"/>
      <c r="M44" s="470"/>
      <c r="N44" s="470"/>
      <c r="O44" s="71"/>
      <c r="P44" s="95" t="str">
        <f t="shared" si="3"/>
        <v/>
      </c>
      <c r="Q44" s="173"/>
      <c r="R44"/>
      <c r="U44"/>
      <c r="V44"/>
      <c r="W44"/>
      <c r="X44"/>
      <c r="Y44"/>
      <c r="Z44"/>
      <c r="AA44"/>
      <c r="AB44"/>
    </row>
    <row r="45" spans="1:28" ht="35.25" customHeight="1" x14ac:dyDescent="0.2">
      <c r="B45" s="93"/>
      <c r="C45" s="97" t="s">
        <v>226</v>
      </c>
      <c r="D45" s="445" t="s">
        <v>275</v>
      </c>
      <c r="E45" s="568"/>
      <c r="F45" s="568"/>
      <c r="G45" s="568"/>
      <c r="H45" s="568"/>
      <c r="I45" s="568"/>
      <c r="J45" s="568"/>
      <c r="K45" s="568"/>
      <c r="L45" s="568"/>
      <c r="M45" s="568"/>
      <c r="N45" s="569"/>
      <c r="O45" s="71"/>
      <c r="P45" s="95" t="str">
        <f t="shared" si="3"/>
        <v/>
      </c>
      <c r="Q45" s="173"/>
      <c r="R45"/>
      <c r="U45"/>
      <c r="V45"/>
      <c r="W45"/>
      <c r="X45"/>
      <c r="Y45"/>
      <c r="Z45"/>
      <c r="AA45"/>
      <c r="AB45"/>
    </row>
    <row r="46" spans="1:28" ht="18" customHeight="1" x14ac:dyDescent="0.2">
      <c r="C46" s="97" t="s">
        <v>227</v>
      </c>
      <c r="D46" s="445" t="s">
        <v>276</v>
      </c>
      <c r="E46" s="570"/>
      <c r="F46" s="570"/>
      <c r="G46" s="570"/>
      <c r="H46" s="570"/>
      <c r="I46" s="570"/>
      <c r="J46" s="570"/>
      <c r="K46" s="570"/>
      <c r="L46" s="570"/>
      <c r="M46" s="570"/>
      <c r="N46" s="570"/>
      <c r="O46" s="71"/>
      <c r="P46" s="95" t="str">
        <f t="shared" si="3"/>
        <v/>
      </c>
      <c r="Q46" s="173"/>
      <c r="R46"/>
      <c r="U46"/>
      <c r="V46"/>
      <c r="W46"/>
      <c r="X46"/>
      <c r="Y46"/>
      <c r="Z46"/>
      <c r="AA46"/>
      <c r="AB46"/>
    </row>
    <row r="47" spans="1:28" ht="35.25" customHeight="1" x14ac:dyDescent="0.2">
      <c r="A47" s="106">
        <v>1</v>
      </c>
      <c r="C47" s="103" t="s">
        <v>228</v>
      </c>
      <c r="D47" s="445" t="s">
        <v>277</v>
      </c>
      <c r="E47" s="568"/>
      <c r="F47" s="568"/>
      <c r="G47" s="568"/>
      <c r="H47" s="568"/>
      <c r="I47" s="568"/>
      <c r="J47" s="568"/>
      <c r="K47" s="568"/>
      <c r="L47" s="568"/>
      <c r="M47" s="568"/>
      <c r="N47" s="569"/>
      <c r="O47" s="71"/>
      <c r="P47" s="95" t="str">
        <f t="shared" si="3"/>
        <v/>
      </c>
      <c r="R47"/>
      <c r="U47"/>
      <c r="V47"/>
      <c r="W47"/>
      <c r="X47"/>
      <c r="Y47"/>
      <c r="Z47"/>
      <c r="AA47"/>
      <c r="AB47"/>
    </row>
    <row r="48" spans="1:28" ht="57.75" customHeight="1" x14ac:dyDescent="0.2">
      <c r="A48" s="107" t="s">
        <v>69</v>
      </c>
      <c r="C48" s="97" t="s">
        <v>229</v>
      </c>
      <c r="D48" s="565" t="s">
        <v>539</v>
      </c>
      <c r="E48" s="566"/>
      <c r="F48" s="566"/>
      <c r="G48" s="566"/>
      <c r="H48" s="566"/>
      <c r="I48" s="566"/>
      <c r="J48" s="566"/>
      <c r="K48" s="566"/>
      <c r="L48" s="566"/>
      <c r="M48" s="566"/>
      <c r="N48" s="566"/>
      <c r="O48" s="71"/>
      <c r="P48" s="95" t="str">
        <f t="shared" si="3"/>
        <v/>
      </c>
      <c r="Q48" s="171"/>
      <c r="R48"/>
      <c r="U48"/>
      <c r="V48"/>
      <c r="W48"/>
      <c r="X48"/>
      <c r="Y48"/>
      <c r="Z48"/>
      <c r="AA48"/>
      <c r="AB48"/>
    </row>
    <row r="49" spans="1:28" ht="39" customHeight="1" x14ac:dyDescent="0.2">
      <c r="A49" s="106">
        <v>1</v>
      </c>
      <c r="B49" s="93"/>
      <c r="C49" s="97" t="s">
        <v>230</v>
      </c>
      <c r="D49" s="567" t="s">
        <v>540</v>
      </c>
      <c r="E49" s="470"/>
      <c r="F49" s="470"/>
      <c r="G49" s="470"/>
      <c r="H49" s="470"/>
      <c r="I49" s="470"/>
      <c r="J49" s="470"/>
      <c r="K49" s="470"/>
      <c r="L49" s="470"/>
      <c r="M49" s="470"/>
      <c r="N49" s="471"/>
      <c r="O49" s="71"/>
      <c r="P49" s="95" t="str">
        <f t="shared" si="3"/>
        <v/>
      </c>
      <c r="Q49" s="123"/>
      <c r="R49"/>
      <c r="U49"/>
      <c r="V49"/>
      <c r="W49"/>
      <c r="X49"/>
      <c r="Y49"/>
      <c r="Z49"/>
      <c r="AA49"/>
      <c r="AB49"/>
    </row>
    <row r="50" spans="1:28" ht="19.5" customHeight="1" x14ac:dyDescent="0.2">
      <c r="A50" s="107" t="s">
        <v>73</v>
      </c>
      <c r="C50" s="580" t="s">
        <v>278</v>
      </c>
      <c r="D50" s="470"/>
      <c r="E50" s="470"/>
      <c r="F50" s="470"/>
      <c r="G50" s="470"/>
      <c r="H50" s="470"/>
      <c r="I50" s="470"/>
      <c r="J50" s="470"/>
      <c r="K50" s="470"/>
      <c r="L50" s="470"/>
      <c r="M50" s="470"/>
      <c r="N50" s="470"/>
      <c r="O50" s="347"/>
      <c r="P50" s="344"/>
      <c r="Q50" s="99"/>
      <c r="R50"/>
      <c r="U50"/>
      <c r="V50"/>
      <c r="W50"/>
      <c r="X50"/>
      <c r="Y50"/>
      <c r="Z50"/>
      <c r="AA50"/>
      <c r="AB50"/>
    </row>
    <row r="51" spans="1:28" ht="25.5" customHeight="1" x14ac:dyDescent="0.2">
      <c r="A51" s="107" t="s">
        <v>69</v>
      </c>
      <c r="B51" s="93"/>
      <c r="C51" s="581" t="s">
        <v>17</v>
      </c>
      <c r="D51" s="470"/>
      <c r="E51" s="470"/>
      <c r="F51" s="470"/>
      <c r="G51" s="470"/>
      <c r="H51" s="470"/>
      <c r="I51" s="470"/>
      <c r="J51" s="470"/>
      <c r="K51" s="470"/>
      <c r="L51" s="470"/>
      <c r="M51" s="470"/>
      <c r="N51" s="470"/>
      <c r="O51" s="345"/>
      <c r="Q51" s="359"/>
      <c r="R51"/>
      <c r="U51"/>
      <c r="V51"/>
      <c r="W51"/>
      <c r="X51"/>
      <c r="Y51"/>
      <c r="Z51"/>
      <c r="AA51"/>
      <c r="AB51"/>
    </row>
    <row r="52" spans="1:28" ht="21.75" customHeight="1" x14ac:dyDescent="0.25">
      <c r="A52" s="106">
        <v>1</v>
      </c>
      <c r="B52" s="93"/>
      <c r="C52" s="100" t="s">
        <v>264</v>
      </c>
      <c r="D52" s="576" t="s">
        <v>74</v>
      </c>
      <c r="E52" s="577"/>
      <c r="F52" s="577"/>
      <c r="G52" s="577"/>
      <c r="H52" s="577"/>
      <c r="I52" s="577"/>
      <c r="J52" s="577"/>
      <c r="K52" s="577"/>
      <c r="L52" s="577"/>
      <c r="M52" s="577"/>
      <c r="N52" s="578"/>
      <c r="O52" s="101" t="s">
        <v>265</v>
      </c>
      <c r="P52" s="101" t="s">
        <v>266</v>
      </c>
      <c r="Q52" s="173"/>
      <c r="R52"/>
      <c r="U52"/>
      <c r="V52"/>
      <c r="W52"/>
      <c r="X52"/>
      <c r="Y52"/>
      <c r="Z52"/>
      <c r="AA52"/>
      <c r="AB52"/>
    </row>
    <row r="53" spans="1:28" ht="34.5" customHeight="1" x14ac:dyDescent="0.2">
      <c r="A53" s="106">
        <v>1</v>
      </c>
      <c r="C53" s="94" t="s">
        <v>232</v>
      </c>
      <c r="D53" s="601" t="s">
        <v>279</v>
      </c>
      <c r="E53" s="595"/>
      <c r="F53" s="595"/>
      <c r="G53" s="595"/>
      <c r="H53" s="595"/>
      <c r="I53" s="595"/>
      <c r="J53" s="595"/>
      <c r="K53" s="595"/>
      <c r="L53" s="595"/>
      <c r="M53" s="595"/>
      <c r="N53" s="595"/>
      <c r="O53" s="71"/>
      <c r="P53" s="95" t="str">
        <f t="shared" ref="P53:P60" si="4">IF(O53="","",IF(O53="Yes","Pass",IF(O53="No","Fail","N/A")))</f>
        <v/>
      </c>
      <c r="Q53" s="173"/>
      <c r="R53"/>
      <c r="U53"/>
      <c r="V53"/>
      <c r="W53"/>
      <c r="X53"/>
      <c r="Y53"/>
      <c r="Z53"/>
      <c r="AA53"/>
      <c r="AB53"/>
    </row>
    <row r="54" spans="1:28" ht="60.75" customHeight="1" x14ac:dyDescent="0.2">
      <c r="A54" s="106">
        <v>1</v>
      </c>
      <c r="C54" s="94" t="s">
        <v>233</v>
      </c>
      <c r="D54" s="601" t="s">
        <v>457</v>
      </c>
      <c r="E54" s="605"/>
      <c r="F54" s="605"/>
      <c r="G54" s="605"/>
      <c r="H54" s="605"/>
      <c r="I54" s="605"/>
      <c r="J54" s="605"/>
      <c r="K54" s="605"/>
      <c r="L54" s="605"/>
      <c r="M54" s="605"/>
      <c r="N54" s="606"/>
      <c r="O54" s="71"/>
      <c r="P54" s="95" t="str">
        <f t="shared" si="4"/>
        <v/>
      </c>
      <c r="Q54" s="173"/>
      <c r="R54"/>
      <c r="U54"/>
      <c r="V54"/>
      <c r="W54"/>
      <c r="X54"/>
      <c r="Y54"/>
      <c r="Z54"/>
      <c r="AA54"/>
      <c r="AB54"/>
    </row>
    <row r="55" spans="1:28" ht="38.25" customHeight="1" x14ac:dyDescent="0.2">
      <c r="A55" s="106">
        <v>1</v>
      </c>
      <c r="B55" s="107" t="s">
        <v>70</v>
      </c>
      <c r="C55" s="94" t="s">
        <v>458</v>
      </c>
      <c r="D55" s="602" t="s">
        <v>454</v>
      </c>
      <c r="E55" s="603"/>
      <c r="F55" s="603"/>
      <c r="G55" s="603"/>
      <c r="H55" s="603"/>
      <c r="I55" s="603"/>
      <c r="J55" s="603"/>
      <c r="K55" s="603"/>
      <c r="L55" s="603"/>
      <c r="M55" s="603"/>
      <c r="N55" s="604"/>
      <c r="O55" s="71"/>
      <c r="P55" s="95" t="str">
        <f t="shared" si="4"/>
        <v/>
      </c>
      <c r="Q55" s="173"/>
      <c r="R55"/>
      <c r="U55"/>
      <c r="V55"/>
      <c r="W55"/>
      <c r="X55"/>
      <c r="Y55"/>
      <c r="Z55"/>
      <c r="AA55"/>
      <c r="AB55"/>
    </row>
    <row r="56" spans="1:28" ht="68.25" customHeight="1" x14ac:dyDescent="0.2">
      <c r="A56" s="107" t="s">
        <v>73</v>
      </c>
      <c r="C56" s="94" t="s">
        <v>234</v>
      </c>
      <c r="D56" s="594" t="s">
        <v>541</v>
      </c>
      <c r="E56" s="595"/>
      <c r="F56" s="595"/>
      <c r="G56" s="595"/>
      <c r="H56" s="595"/>
      <c r="I56" s="595"/>
      <c r="J56" s="595"/>
      <c r="K56" s="595"/>
      <c r="L56" s="595"/>
      <c r="M56" s="595"/>
      <c r="N56" s="596"/>
      <c r="O56" s="71"/>
      <c r="P56" s="95" t="str">
        <f t="shared" si="4"/>
        <v/>
      </c>
      <c r="Q56" s="173"/>
      <c r="R56"/>
      <c r="U56"/>
      <c r="V56"/>
      <c r="W56"/>
      <c r="X56"/>
      <c r="Y56"/>
      <c r="Z56"/>
      <c r="AA56"/>
      <c r="AB56"/>
    </row>
    <row r="57" spans="1:28" ht="31.5" customHeight="1" x14ac:dyDescent="0.2">
      <c r="B57" s="93"/>
      <c r="C57" s="94" t="s">
        <v>235</v>
      </c>
      <c r="D57" s="602" t="s">
        <v>459</v>
      </c>
      <c r="E57" s="603"/>
      <c r="F57" s="603"/>
      <c r="G57" s="603"/>
      <c r="H57" s="603"/>
      <c r="I57" s="603"/>
      <c r="J57" s="603"/>
      <c r="K57" s="603"/>
      <c r="L57" s="603"/>
      <c r="M57" s="603"/>
      <c r="N57" s="604"/>
      <c r="O57" s="71"/>
      <c r="P57" s="95" t="str">
        <f t="shared" si="4"/>
        <v/>
      </c>
      <c r="Q57" s="173"/>
      <c r="R57"/>
      <c r="U57"/>
      <c r="V57"/>
      <c r="W57"/>
      <c r="X57"/>
      <c r="Y57"/>
      <c r="Z57"/>
      <c r="AA57"/>
      <c r="AB57"/>
    </row>
    <row r="58" spans="1:28" ht="40.5" customHeight="1" x14ac:dyDescent="0.2">
      <c r="C58" s="104" t="s">
        <v>460</v>
      </c>
      <c r="D58" s="597" t="s">
        <v>455</v>
      </c>
      <c r="E58" s="595"/>
      <c r="F58" s="595"/>
      <c r="G58" s="595"/>
      <c r="H58" s="595"/>
      <c r="I58" s="595"/>
      <c r="J58" s="595"/>
      <c r="K58" s="595"/>
      <c r="L58" s="595"/>
      <c r="M58" s="595"/>
      <c r="N58" s="596"/>
      <c r="O58" s="71"/>
      <c r="P58" s="95" t="str">
        <f t="shared" si="4"/>
        <v/>
      </c>
      <c r="Q58" s="173"/>
      <c r="R58"/>
      <c r="U58"/>
      <c r="V58"/>
      <c r="W58"/>
      <c r="X58"/>
      <c r="Y58"/>
      <c r="Z58"/>
      <c r="AA58"/>
      <c r="AB58"/>
    </row>
    <row r="59" spans="1:28" ht="30" customHeight="1" x14ac:dyDescent="0.2">
      <c r="A59" s="107" t="s">
        <v>70</v>
      </c>
      <c r="C59" s="104" t="s">
        <v>236</v>
      </c>
      <c r="D59" s="598" t="s">
        <v>456</v>
      </c>
      <c r="E59" s="599"/>
      <c r="F59" s="599"/>
      <c r="G59" s="599"/>
      <c r="H59" s="599"/>
      <c r="I59" s="599"/>
      <c r="J59" s="599"/>
      <c r="K59" s="599"/>
      <c r="L59" s="599"/>
      <c r="M59" s="599"/>
      <c r="N59" s="600"/>
      <c r="O59" s="71"/>
      <c r="P59" s="95" t="str">
        <f t="shared" si="4"/>
        <v/>
      </c>
      <c r="Q59" s="173"/>
      <c r="R59"/>
      <c r="U59"/>
      <c r="V59"/>
      <c r="W59"/>
      <c r="X59"/>
      <c r="Y59"/>
      <c r="Z59"/>
      <c r="AA59"/>
      <c r="AB59"/>
    </row>
    <row r="60" spans="1:28" ht="30" customHeight="1" x14ac:dyDescent="0.2">
      <c r="A60" s="107" t="s">
        <v>70</v>
      </c>
      <c r="B60" s="93"/>
      <c r="C60" s="104" t="s">
        <v>237</v>
      </c>
      <c r="D60" s="598" t="s">
        <v>280</v>
      </c>
      <c r="E60" s="599"/>
      <c r="F60" s="599"/>
      <c r="G60" s="599"/>
      <c r="H60" s="599"/>
      <c r="I60" s="599"/>
      <c r="J60" s="599"/>
      <c r="K60" s="599"/>
      <c r="L60" s="599"/>
      <c r="M60" s="599"/>
      <c r="N60" s="600"/>
      <c r="O60" s="71"/>
      <c r="P60" s="95" t="str">
        <f t="shared" si="4"/>
        <v/>
      </c>
      <c r="Q60" s="171"/>
      <c r="R60"/>
      <c r="U60"/>
      <c r="V60"/>
      <c r="W60"/>
      <c r="X60"/>
      <c r="Y60"/>
      <c r="Z60"/>
      <c r="AA60"/>
      <c r="AB60"/>
    </row>
    <row r="61" spans="1:28" ht="22.5" customHeight="1" x14ac:dyDescent="0.2">
      <c r="A61" s="107" t="s">
        <v>69</v>
      </c>
      <c r="B61" s="107" t="s">
        <v>69</v>
      </c>
      <c r="C61" s="580" t="s">
        <v>281</v>
      </c>
      <c r="D61" s="470"/>
      <c r="E61" s="470"/>
      <c r="F61" s="470"/>
      <c r="G61" s="470"/>
      <c r="H61" s="470"/>
      <c r="I61" s="470"/>
      <c r="J61" s="470"/>
      <c r="K61" s="470"/>
      <c r="L61" s="470"/>
      <c r="M61" s="470"/>
      <c r="N61" s="470"/>
      <c r="O61" s="347"/>
      <c r="P61" s="345"/>
      <c r="Q61" s="172"/>
      <c r="R61"/>
      <c r="U61"/>
      <c r="V61"/>
      <c r="W61"/>
      <c r="X61"/>
      <c r="Y61"/>
      <c r="Z61"/>
      <c r="AA61"/>
      <c r="AB61"/>
    </row>
    <row r="62" spans="1:28" ht="28.5" customHeight="1" x14ac:dyDescent="0.2">
      <c r="A62" s="107"/>
      <c r="B62" s="147"/>
      <c r="C62" s="581" t="s">
        <v>17</v>
      </c>
      <c r="D62" s="470"/>
      <c r="E62" s="470"/>
      <c r="F62" s="470"/>
      <c r="G62" s="470"/>
      <c r="H62" s="470"/>
      <c r="I62" s="470"/>
      <c r="J62" s="470"/>
      <c r="K62" s="470"/>
      <c r="L62" s="470"/>
      <c r="M62" s="470"/>
      <c r="N62" s="470"/>
      <c r="O62" s="345"/>
      <c r="Q62" s="171"/>
      <c r="R62"/>
      <c r="U62"/>
      <c r="V62"/>
      <c r="W62"/>
      <c r="X62"/>
      <c r="Y62"/>
      <c r="Z62"/>
      <c r="AA62"/>
      <c r="AB62"/>
    </row>
    <row r="63" spans="1:28" ht="30" customHeight="1" x14ac:dyDescent="0.25">
      <c r="A63" s="107" t="s">
        <v>70</v>
      </c>
      <c r="B63" s="93"/>
      <c r="C63" s="100" t="s">
        <v>264</v>
      </c>
      <c r="D63" s="573" t="s">
        <v>75</v>
      </c>
      <c r="E63" s="574"/>
      <c r="F63" s="574"/>
      <c r="G63" s="574"/>
      <c r="H63" s="574"/>
      <c r="I63" s="574"/>
      <c r="J63" s="574"/>
      <c r="K63" s="574"/>
      <c r="L63" s="574"/>
      <c r="M63" s="574"/>
      <c r="N63" s="440"/>
      <c r="O63" s="101" t="s">
        <v>265</v>
      </c>
      <c r="P63" s="101" t="s">
        <v>266</v>
      </c>
      <c r="Q63" s="359"/>
      <c r="R63"/>
      <c r="U63"/>
      <c r="V63"/>
      <c r="W63"/>
      <c r="X63"/>
      <c r="Y63"/>
      <c r="Z63"/>
      <c r="AA63"/>
      <c r="AB63"/>
    </row>
    <row r="64" spans="1:28" ht="30" customHeight="1" x14ac:dyDescent="0.2">
      <c r="A64" s="107" t="s">
        <v>70</v>
      </c>
      <c r="B64" s="93"/>
      <c r="C64" s="94" t="s">
        <v>239</v>
      </c>
      <c r="D64" s="567" t="s">
        <v>461</v>
      </c>
      <c r="E64" s="470"/>
      <c r="F64" s="470"/>
      <c r="G64" s="470"/>
      <c r="H64" s="470"/>
      <c r="I64" s="470"/>
      <c r="J64" s="470"/>
      <c r="K64" s="470"/>
      <c r="L64" s="470"/>
      <c r="M64" s="470"/>
      <c r="N64" s="471"/>
      <c r="O64" s="71"/>
      <c r="P64" s="95" t="str">
        <f t="shared" ref="P64:P69" si="5">IF(O64="","",IF(O64="Yes","Pass",IF(O64="No","Fail","N/A")))</f>
        <v/>
      </c>
      <c r="Q64" s="173"/>
      <c r="R64"/>
      <c r="U64"/>
      <c r="V64"/>
      <c r="W64"/>
      <c r="X64"/>
      <c r="Y64"/>
      <c r="Z64"/>
      <c r="AA64"/>
      <c r="AB64"/>
    </row>
    <row r="65" spans="1:28" ht="33.75" customHeight="1" x14ac:dyDescent="0.2">
      <c r="A65" s="107" t="s">
        <v>76</v>
      </c>
      <c r="B65" s="93"/>
      <c r="C65" s="94" t="s">
        <v>240</v>
      </c>
      <c r="D65" s="567" t="s">
        <v>282</v>
      </c>
      <c r="E65" s="470"/>
      <c r="F65" s="470"/>
      <c r="G65" s="470"/>
      <c r="H65" s="470"/>
      <c r="I65" s="470"/>
      <c r="J65" s="470"/>
      <c r="K65" s="470"/>
      <c r="L65" s="470"/>
      <c r="M65" s="470"/>
      <c r="N65" s="471"/>
      <c r="O65" s="71"/>
      <c r="P65" s="95" t="str">
        <f t="shared" si="5"/>
        <v/>
      </c>
      <c r="Q65" s="173"/>
      <c r="R65"/>
      <c r="U65"/>
      <c r="V65"/>
      <c r="W65"/>
      <c r="X65"/>
      <c r="Y65"/>
      <c r="Z65"/>
      <c r="AA65"/>
      <c r="AB65"/>
    </row>
    <row r="66" spans="1:28" ht="49.5" customHeight="1" x14ac:dyDescent="0.2">
      <c r="A66" s="106">
        <v>1</v>
      </c>
      <c r="B66" s="93"/>
      <c r="C66" s="94" t="s">
        <v>241</v>
      </c>
      <c r="D66" s="567" t="s">
        <v>462</v>
      </c>
      <c r="E66" s="470"/>
      <c r="F66" s="470"/>
      <c r="G66" s="470"/>
      <c r="H66" s="470"/>
      <c r="I66" s="470"/>
      <c r="J66" s="470"/>
      <c r="K66" s="470"/>
      <c r="L66" s="470"/>
      <c r="M66" s="470"/>
      <c r="N66" s="471"/>
      <c r="O66" s="71"/>
      <c r="P66" s="95" t="str">
        <f t="shared" si="5"/>
        <v/>
      </c>
      <c r="Q66" s="173"/>
      <c r="R66"/>
      <c r="U66"/>
      <c r="V66"/>
      <c r="W66"/>
      <c r="X66"/>
      <c r="Y66"/>
      <c r="Z66"/>
      <c r="AA66"/>
      <c r="AB66"/>
    </row>
    <row r="67" spans="1:28" ht="35.25" customHeight="1" x14ac:dyDescent="0.2">
      <c r="A67" s="107" t="s">
        <v>73</v>
      </c>
      <c r="C67" s="148" t="s">
        <v>542</v>
      </c>
      <c r="D67" s="593" t="s">
        <v>464</v>
      </c>
      <c r="E67" s="470"/>
      <c r="F67" s="470"/>
      <c r="G67" s="470"/>
      <c r="H67" s="470"/>
      <c r="I67" s="470"/>
      <c r="J67" s="470"/>
      <c r="K67" s="470"/>
      <c r="L67" s="470"/>
      <c r="M67" s="470"/>
      <c r="N67" s="470"/>
      <c r="O67" s="71"/>
      <c r="P67" s="95" t="str">
        <f t="shared" si="5"/>
        <v/>
      </c>
      <c r="Q67" s="173"/>
      <c r="R67"/>
      <c r="U67"/>
      <c r="V67"/>
      <c r="W67"/>
      <c r="X67"/>
      <c r="Y67"/>
      <c r="Z67"/>
      <c r="AA67"/>
      <c r="AB67"/>
    </row>
    <row r="68" spans="1:28" ht="36" customHeight="1" x14ac:dyDescent="0.2">
      <c r="B68" s="93"/>
      <c r="C68" s="94" t="s">
        <v>242</v>
      </c>
      <c r="D68" s="469" t="s">
        <v>546</v>
      </c>
      <c r="E68" s="470"/>
      <c r="F68" s="470"/>
      <c r="G68" s="470"/>
      <c r="H68" s="470"/>
      <c r="I68" s="470"/>
      <c r="J68" s="470"/>
      <c r="K68" s="470"/>
      <c r="L68" s="470"/>
      <c r="M68" s="470"/>
      <c r="N68" s="471"/>
      <c r="O68" s="71"/>
      <c r="P68" s="95" t="str">
        <f t="shared" si="5"/>
        <v/>
      </c>
      <c r="Q68" s="173"/>
      <c r="R68"/>
      <c r="U68"/>
      <c r="V68"/>
      <c r="W68"/>
      <c r="X68"/>
      <c r="Y68"/>
      <c r="Z68"/>
      <c r="AA68"/>
      <c r="AB68"/>
    </row>
    <row r="69" spans="1:28" ht="52.5" customHeight="1" x14ac:dyDescent="0.2">
      <c r="C69" s="94" t="s">
        <v>243</v>
      </c>
      <c r="D69" s="469" t="s">
        <v>547</v>
      </c>
      <c r="E69" s="470"/>
      <c r="F69" s="470"/>
      <c r="G69" s="470"/>
      <c r="H69" s="470"/>
      <c r="I69" s="470"/>
      <c r="J69" s="470"/>
      <c r="K69" s="470"/>
      <c r="L69" s="470"/>
      <c r="M69" s="470"/>
      <c r="N69" s="471"/>
      <c r="O69" s="71"/>
      <c r="P69" s="95" t="str">
        <f t="shared" si="5"/>
        <v/>
      </c>
      <c r="Q69" s="173"/>
      <c r="R69"/>
      <c r="U69"/>
      <c r="V69"/>
      <c r="W69"/>
      <c r="X69"/>
      <c r="Y69"/>
      <c r="Z69"/>
      <c r="AA69"/>
      <c r="AB69"/>
    </row>
    <row r="70" spans="1:28" ht="21" customHeight="1" x14ac:dyDescent="0.25">
      <c r="A70" s="107" t="s">
        <v>70</v>
      </c>
      <c r="C70" s="608" t="s">
        <v>283</v>
      </c>
      <c r="D70" s="486"/>
      <c r="E70" s="486"/>
      <c r="F70" s="486"/>
      <c r="G70" s="486"/>
      <c r="H70" s="486"/>
      <c r="I70" s="486"/>
      <c r="J70" s="486"/>
      <c r="K70" s="486"/>
      <c r="L70" s="486"/>
      <c r="M70" s="486"/>
      <c r="N70" s="486"/>
      <c r="O70" s="348"/>
      <c r="P70" s="342"/>
      <c r="Q70" s="173"/>
      <c r="R70"/>
      <c r="U70"/>
      <c r="V70"/>
      <c r="W70"/>
      <c r="X70"/>
      <c r="Y70"/>
      <c r="Z70"/>
      <c r="AA70"/>
      <c r="AB70"/>
    </row>
    <row r="71" spans="1:28" ht="29.25" customHeight="1" x14ac:dyDescent="0.25">
      <c r="A71" s="107" t="s">
        <v>285</v>
      </c>
      <c r="B71" s="93"/>
      <c r="C71" s="581" t="s">
        <v>17</v>
      </c>
      <c r="D71" s="470"/>
      <c r="E71" s="470"/>
      <c r="F71" s="470"/>
      <c r="G71" s="470"/>
      <c r="H71" s="470"/>
      <c r="I71" s="470"/>
      <c r="J71" s="470"/>
      <c r="K71" s="470"/>
      <c r="L71" s="470"/>
      <c r="M71" s="470"/>
      <c r="N71" s="470"/>
      <c r="O71" s="345"/>
      <c r="Q71" s="352"/>
      <c r="R71"/>
      <c r="U71"/>
      <c r="V71"/>
      <c r="W71"/>
      <c r="X71"/>
      <c r="Y71"/>
      <c r="Z71"/>
      <c r="AA71"/>
      <c r="AB71"/>
    </row>
    <row r="72" spans="1:28" ht="21.75" customHeight="1" x14ac:dyDescent="0.25">
      <c r="A72" s="107" t="s">
        <v>76</v>
      </c>
      <c r="B72" s="107" t="s">
        <v>286</v>
      </c>
      <c r="C72" s="100" t="s">
        <v>264</v>
      </c>
      <c r="D72" s="573" t="s">
        <v>77</v>
      </c>
      <c r="E72" s="574"/>
      <c r="F72" s="574"/>
      <c r="G72" s="574"/>
      <c r="H72" s="574"/>
      <c r="I72" s="574"/>
      <c r="J72" s="574"/>
      <c r="K72" s="574"/>
      <c r="L72" s="574"/>
      <c r="M72" s="574"/>
      <c r="N72" s="574"/>
      <c r="O72" s="101" t="s">
        <v>265</v>
      </c>
      <c r="P72" s="101" t="s">
        <v>266</v>
      </c>
      <c r="Q72" s="172"/>
      <c r="R72"/>
      <c r="U72"/>
      <c r="V72"/>
      <c r="W72"/>
      <c r="X72"/>
      <c r="Y72"/>
      <c r="Z72"/>
      <c r="AA72"/>
      <c r="AB72"/>
    </row>
    <row r="73" spans="1:28" ht="36" customHeight="1" x14ac:dyDescent="0.2">
      <c r="A73" s="107" t="s">
        <v>287</v>
      </c>
      <c r="B73" s="107" t="s">
        <v>80</v>
      </c>
      <c r="C73" s="102" t="s">
        <v>245</v>
      </c>
      <c r="D73" s="607" t="s">
        <v>284</v>
      </c>
      <c r="E73" s="470"/>
      <c r="F73" s="470"/>
      <c r="G73" s="470"/>
      <c r="H73" s="470"/>
      <c r="I73" s="470"/>
      <c r="J73" s="470"/>
      <c r="K73" s="470"/>
      <c r="L73" s="470"/>
      <c r="M73" s="470"/>
      <c r="N73" s="470"/>
      <c r="O73" s="71"/>
      <c r="P73" s="95" t="str">
        <f>IF(O73="","",IF(O73="Yes","Fail",IF(O73="No","Pass","N/A")))</f>
        <v/>
      </c>
      <c r="R73"/>
      <c r="U73"/>
      <c r="V73"/>
      <c r="W73"/>
      <c r="X73"/>
      <c r="Y73"/>
      <c r="Z73"/>
      <c r="AA73"/>
      <c r="AB73"/>
    </row>
    <row r="74" spans="1:28" ht="189" customHeight="1" x14ac:dyDescent="0.2">
      <c r="A74" s="107" t="s">
        <v>288</v>
      </c>
      <c r="B74" s="93"/>
      <c r="C74" s="102" t="s">
        <v>246</v>
      </c>
      <c r="D74" s="609" t="s">
        <v>552</v>
      </c>
      <c r="E74" s="470"/>
      <c r="F74" s="470"/>
      <c r="G74" s="470"/>
      <c r="H74" s="470"/>
      <c r="I74" s="470"/>
      <c r="J74" s="470"/>
      <c r="K74" s="470"/>
      <c r="L74" s="470"/>
      <c r="M74" s="470"/>
      <c r="N74" s="470"/>
      <c r="O74" s="71"/>
      <c r="P74" s="95" t="str">
        <f>IF(O74="","",IF(O74="Yes","Fail",IF(O74="No","Pass","N/A")))</f>
        <v/>
      </c>
      <c r="Q74" s="359"/>
      <c r="R74"/>
      <c r="U74"/>
      <c r="V74"/>
      <c r="W74"/>
      <c r="X74"/>
      <c r="Y74"/>
      <c r="Z74"/>
      <c r="AA74"/>
      <c r="AB74"/>
    </row>
    <row r="75" spans="1:28" ht="94.5" customHeight="1" x14ac:dyDescent="0.2">
      <c r="A75" s="107" t="s">
        <v>81</v>
      </c>
      <c r="B75" s="93"/>
      <c r="C75" s="102" t="s">
        <v>247</v>
      </c>
      <c r="D75" s="609" t="s">
        <v>551</v>
      </c>
      <c r="E75" s="470"/>
      <c r="F75" s="470"/>
      <c r="G75" s="470"/>
      <c r="H75" s="470"/>
      <c r="I75" s="470"/>
      <c r="J75" s="470"/>
      <c r="K75" s="470"/>
      <c r="L75" s="470"/>
      <c r="M75" s="470"/>
      <c r="N75" s="470"/>
      <c r="O75" s="71"/>
      <c r="P75" s="95" t="str">
        <f t="shared" ref="P75:P82" si="6">IF(O75="","",IF(O75="Yes","Pass",IF(O75="No","Fail","N/A")))</f>
        <v/>
      </c>
      <c r="Q75" s="173"/>
      <c r="R75"/>
      <c r="U75"/>
      <c r="V75"/>
      <c r="W75"/>
      <c r="X75"/>
      <c r="Y75"/>
      <c r="Z75"/>
      <c r="AA75"/>
      <c r="AB75"/>
    </row>
    <row r="76" spans="1:28" ht="126" customHeight="1" x14ac:dyDescent="0.2">
      <c r="A76" s="107" t="s">
        <v>69</v>
      </c>
      <c r="B76" s="93"/>
      <c r="C76" s="102" t="s">
        <v>248</v>
      </c>
      <c r="D76" s="579" t="s">
        <v>550</v>
      </c>
      <c r="E76" s="572"/>
      <c r="F76" s="572"/>
      <c r="G76" s="572"/>
      <c r="H76" s="572"/>
      <c r="I76" s="572"/>
      <c r="J76" s="572"/>
      <c r="K76" s="572"/>
      <c r="L76" s="572"/>
      <c r="M76" s="572"/>
      <c r="N76" s="572"/>
      <c r="O76" s="71"/>
      <c r="P76" s="95" t="str">
        <f t="shared" si="6"/>
        <v/>
      </c>
      <c r="Q76" s="173"/>
      <c r="R76"/>
      <c r="U76"/>
      <c r="V76"/>
      <c r="W76"/>
      <c r="X76"/>
      <c r="Y76"/>
      <c r="Z76"/>
      <c r="AA76"/>
      <c r="AB76"/>
    </row>
    <row r="77" spans="1:28" ht="78" customHeight="1" x14ac:dyDescent="0.2">
      <c r="A77" s="107" t="s">
        <v>288</v>
      </c>
      <c r="B77" s="93"/>
      <c r="C77" s="102" t="s">
        <v>249</v>
      </c>
      <c r="D77" s="579" t="s">
        <v>289</v>
      </c>
      <c r="E77" s="572"/>
      <c r="F77" s="572"/>
      <c r="G77" s="572"/>
      <c r="H77" s="572"/>
      <c r="I77" s="572"/>
      <c r="J77" s="572"/>
      <c r="K77" s="572"/>
      <c r="L77" s="572"/>
      <c r="M77" s="572"/>
      <c r="N77" s="582"/>
      <c r="O77" s="71"/>
      <c r="P77" s="95" t="str">
        <f t="shared" si="6"/>
        <v/>
      </c>
      <c r="Q77" s="173"/>
      <c r="R77"/>
      <c r="U77"/>
      <c r="V77"/>
      <c r="W77"/>
      <c r="X77"/>
      <c r="Y77"/>
      <c r="Z77"/>
      <c r="AA77"/>
      <c r="AB77"/>
    </row>
    <row r="78" spans="1:28" ht="108.75" customHeight="1" x14ac:dyDescent="0.2">
      <c r="A78" s="107" t="s">
        <v>73</v>
      </c>
      <c r="B78" s="93"/>
      <c r="C78" s="102" t="s">
        <v>250</v>
      </c>
      <c r="D78" s="579" t="s">
        <v>543</v>
      </c>
      <c r="E78" s="572"/>
      <c r="F78" s="572"/>
      <c r="G78" s="572"/>
      <c r="H78" s="572"/>
      <c r="I78" s="572"/>
      <c r="J78" s="572"/>
      <c r="K78" s="572"/>
      <c r="L78" s="572"/>
      <c r="M78" s="572"/>
      <c r="N78" s="582"/>
      <c r="O78" s="71"/>
      <c r="P78" s="95" t="str">
        <f t="shared" si="6"/>
        <v/>
      </c>
      <c r="Q78" s="173"/>
      <c r="R78"/>
      <c r="U78"/>
      <c r="V78"/>
      <c r="W78"/>
      <c r="X78"/>
      <c r="Y78"/>
      <c r="Z78"/>
      <c r="AA78"/>
      <c r="AB78"/>
    </row>
    <row r="79" spans="1:28" ht="36" customHeight="1" x14ac:dyDescent="0.2">
      <c r="A79" s="107" t="s">
        <v>81</v>
      </c>
      <c r="B79" s="93"/>
      <c r="C79" s="102" t="s">
        <v>251</v>
      </c>
      <c r="D79" s="567" t="s">
        <v>290</v>
      </c>
      <c r="E79" s="572"/>
      <c r="F79" s="572"/>
      <c r="G79" s="572"/>
      <c r="H79" s="572"/>
      <c r="I79" s="572"/>
      <c r="J79" s="572"/>
      <c r="K79" s="572"/>
      <c r="L79" s="572"/>
      <c r="M79" s="572"/>
      <c r="N79" s="582"/>
      <c r="O79" s="71"/>
      <c r="P79" s="95" t="str">
        <f t="shared" si="6"/>
        <v/>
      </c>
      <c r="Q79" s="173"/>
      <c r="R79"/>
      <c r="U79"/>
      <c r="V79"/>
      <c r="W79"/>
      <c r="X79"/>
      <c r="Y79"/>
      <c r="Z79"/>
      <c r="AA79"/>
      <c r="AB79"/>
    </row>
    <row r="80" spans="1:28" ht="91.5" customHeight="1" x14ac:dyDescent="0.2">
      <c r="A80" s="107" t="s">
        <v>81</v>
      </c>
      <c r="B80" s="93"/>
      <c r="C80" s="102" t="s">
        <v>252</v>
      </c>
      <c r="D80" s="579" t="s">
        <v>549</v>
      </c>
      <c r="E80" s="572"/>
      <c r="F80" s="572"/>
      <c r="G80" s="572"/>
      <c r="H80" s="572"/>
      <c r="I80" s="572"/>
      <c r="J80" s="572"/>
      <c r="K80" s="572"/>
      <c r="L80" s="572"/>
      <c r="M80" s="572"/>
      <c r="N80" s="582"/>
      <c r="O80" s="71"/>
      <c r="P80" s="95" t="str">
        <f t="shared" si="6"/>
        <v/>
      </c>
      <c r="Q80" s="173"/>
      <c r="R80"/>
      <c r="U80"/>
      <c r="V80"/>
      <c r="W80"/>
      <c r="X80"/>
      <c r="Y80"/>
      <c r="Z80"/>
      <c r="AA80"/>
      <c r="AB80"/>
    </row>
    <row r="81" spans="1:18" ht="61.5" customHeight="1" x14ac:dyDescent="0.2">
      <c r="A81" s="107" t="s">
        <v>288</v>
      </c>
      <c r="B81" s="93"/>
      <c r="C81" s="102" t="s">
        <v>253</v>
      </c>
      <c r="D81" s="579" t="s">
        <v>291</v>
      </c>
      <c r="E81" s="572"/>
      <c r="F81" s="572"/>
      <c r="G81" s="572"/>
      <c r="H81" s="572"/>
      <c r="I81" s="572"/>
      <c r="J81" s="572"/>
      <c r="K81" s="572"/>
      <c r="L81" s="572"/>
      <c r="M81" s="572"/>
      <c r="N81" s="582"/>
      <c r="O81" s="71"/>
      <c r="P81" s="95" t="str">
        <f t="shared" si="6"/>
        <v/>
      </c>
      <c r="Q81"/>
      <c r="R81"/>
    </row>
    <row r="82" spans="1:18" ht="78.75" customHeight="1" x14ac:dyDescent="0.2">
      <c r="A82" s="106">
        <v>1</v>
      </c>
      <c r="B82" s="93"/>
      <c r="C82" s="102" t="s">
        <v>254</v>
      </c>
      <c r="D82" s="609" t="s">
        <v>548</v>
      </c>
      <c r="E82" s="470"/>
      <c r="F82" s="470"/>
      <c r="G82" s="470"/>
      <c r="H82" s="470"/>
      <c r="I82" s="470"/>
      <c r="J82" s="470"/>
      <c r="K82" s="470"/>
      <c r="L82" s="470"/>
      <c r="M82" s="470"/>
      <c r="N82" s="471"/>
      <c r="O82" s="71"/>
      <c r="P82" s="95" t="str">
        <f t="shared" si="6"/>
        <v/>
      </c>
      <c r="Q82"/>
      <c r="R82"/>
    </row>
    <row r="83" spans="1:18" ht="20.25" customHeight="1" x14ac:dyDescent="0.2">
      <c r="A83" s="107" t="s">
        <v>73</v>
      </c>
      <c r="C83" s="469" t="s">
        <v>292</v>
      </c>
      <c r="D83" s="470"/>
      <c r="E83" s="470"/>
      <c r="F83" s="470"/>
      <c r="G83" s="470"/>
      <c r="H83" s="470"/>
      <c r="I83" s="470"/>
      <c r="J83" s="470"/>
      <c r="K83" s="470"/>
      <c r="L83" s="470"/>
      <c r="M83" s="470"/>
      <c r="N83" s="470"/>
      <c r="O83" s="346"/>
      <c r="P83" s="95"/>
      <c r="Q83"/>
      <c r="R83"/>
    </row>
    <row r="84" spans="1:18" ht="21" customHeight="1" x14ac:dyDescent="0.2">
      <c r="B84" s="93"/>
      <c r="C84" s="581" t="s">
        <v>17</v>
      </c>
      <c r="D84" s="470"/>
      <c r="E84" s="470"/>
      <c r="F84" s="470"/>
      <c r="G84" s="470"/>
      <c r="H84" s="470"/>
      <c r="I84" s="470"/>
      <c r="J84" s="470"/>
      <c r="K84" s="470"/>
      <c r="L84" s="470"/>
      <c r="M84" s="470"/>
      <c r="N84" s="470"/>
      <c r="O84" s="345"/>
      <c r="P84" s="346"/>
      <c r="Q84"/>
      <c r="R84"/>
    </row>
    <row r="85" spans="1:18" ht="18" x14ac:dyDescent="0.2">
      <c r="P85" s="345"/>
      <c r="Q85" s="173"/>
      <c r="R85" s="173"/>
    </row>
    <row r="86" spans="1:18" ht="18" x14ac:dyDescent="0.2">
      <c r="P86" s="105"/>
      <c r="Q86" s="173"/>
      <c r="R86" s="173"/>
    </row>
    <row r="87" spans="1:18" x14ac:dyDescent="0.2">
      <c r="P87" s="105"/>
      <c r="Q87" s="105"/>
      <c r="R87" s="105"/>
    </row>
    <row r="88" spans="1:18" x14ac:dyDescent="0.2">
      <c r="Q88" s="105"/>
      <c r="R88" s="105"/>
    </row>
    <row r="89" spans="1:18" x14ac:dyDescent="0.2">
      <c r="Q89" s="105"/>
      <c r="R89" s="105"/>
    </row>
    <row r="90" spans="1:18" x14ac:dyDescent="0.2">
      <c r="Q90" s="105"/>
      <c r="R90" s="105"/>
    </row>
  </sheetData>
  <sheetProtection algorithmName="SHA-512" hashValue="owj4OIz/vDRIJzu7Fb9a22wa9/Ayx8ZqeLG0tzvLVN8oVFKYkflMOErWu9bJQU9+Ey76vCwyq6WR29U5hXPsJw==" saltValue="iWN0HdS4wIaxC2KdtOAk9g==" spinCount="100000" sheet="1" objects="1" scenarios="1"/>
  <mergeCells count="83">
    <mergeCell ref="D82:N82"/>
    <mergeCell ref="C83:N83"/>
    <mergeCell ref="C84:N84"/>
    <mergeCell ref="D60:N60"/>
    <mergeCell ref="C61:N61"/>
    <mergeCell ref="C62:N62"/>
    <mergeCell ref="D69:N69"/>
    <mergeCell ref="C70:N70"/>
    <mergeCell ref="D73:N73"/>
    <mergeCell ref="D74:N74"/>
    <mergeCell ref="D64:N64"/>
    <mergeCell ref="D63:N63"/>
    <mergeCell ref="D72:N72"/>
    <mergeCell ref="D65:N65"/>
    <mergeCell ref="D66:N66"/>
    <mergeCell ref="D67:N67"/>
    <mergeCell ref="C28:N28"/>
    <mergeCell ref="D33:N33"/>
    <mergeCell ref="C34:N34"/>
    <mergeCell ref="C35:N35"/>
    <mergeCell ref="D37:N37"/>
    <mergeCell ref="D31:N31"/>
    <mergeCell ref="D32:N32"/>
    <mergeCell ref="D36:N36"/>
    <mergeCell ref="K2:L2"/>
    <mergeCell ref="C1:G1"/>
    <mergeCell ref="C2:G2"/>
    <mergeCell ref="D14:N14"/>
    <mergeCell ref="D8:N8"/>
    <mergeCell ref="D9:N9"/>
    <mergeCell ref="D10:N10"/>
    <mergeCell ref="D11:N11"/>
    <mergeCell ref="D12:N12"/>
    <mergeCell ref="D13:N13"/>
    <mergeCell ref="E5:G5"/>
    <mergeCell ref="D19:N19"/>
    <mergeCell ref="C20:N20"/>
    <mergeCell ref="C21:N21"/>
    <mergeCell ref="D26:N26"/>
    <mergeCell ref="C27:N27"/>
    <mergeCell ref="D52:N52"/>
    <mergeCell ref="D42:N42"/>
    <mergeCell ref="D46:N46"/>
    <mergeCell ref="D47:N47"/>
    <mergeCell ref="D48:N48"/>
    <mergeCell ref="D43:N43"/>
    <mergeCell ref="D44:N44"/>
    <mergeCell ref="D45:N45"/>
    <mergeCell ref="D49:N49"/>
    <mergeCell ref="C50:N50"/>
    <mergeCell ref="C51:N51"/>
    <mergeCell ref="S1:U1"/>
    <mergeCell ref="T4:U4"/>
    <mergeCell ref="D41:N41"/>
    <mergeCell ref="D40:N40"/>
    <mergeCell ref="D39:N39"/>
    <mergeCell ref="D23:N23"/>
    <mergeCell ref="K1:L1"/>
    <mergeCell ref="D30:N30"/>
    <mergeCell ref="D29:N29"/>
    <mergeCell ref="D15:N15"/>
    <mergeCell ref="D16:N16"/>
    <mergeCell ref="D17:N17"/>
    <mergeCell ref="D18:N18"/>
    <mergeCell ref="D22:N22"/>
    <mergeCell ref="D24:N24"/>
    <mergeCell ref="D25:N25"/>
    <mergeCell ref="D56:N56"/>
    <mergeCell ref="D57:N57"/>
    <mergeCell ref="D53:N53"/>
    <mergeCell ref="D58:N58"/>
    <mergeCell ref="D59:N59"/>
    <mergeCell ref="D54:N54"/>
    <mergeCell ref="D55:N55"/>
    <mergeCell ref="D68:N68"/>
    <mergeCell ref="C71:N71"/>
    <mergeCell ref="D81:N81"/>
    <mergeCell ref="D78:N78"/>
    <mergeCell ref="D80:N80"/>
    <mergeCell ref="D75:N75"/>
    <mergeCell ref="D76:N76"/>
    <mergeCell ref="D77:N77"/>
    <mergeCell ref="D79:N79"/>
  </mergeCells>
  <conditionalFormatting sqref="M5">
    <cfRule type="containsText" dxfId="24" priority="4" operator="containsText" text="Fail">
      <formula>NOT(ISERROR(SEARCH("Fail",M5)))</formula>
    </cfRule>
  </conditionalFormatting>
  <conditionalFormatting sqref="P8:R19 P20 P22:R26 P29:R33 Q34:Q46 P36:P37 P39:P49 Q51:Q59 P52:P60 P63:P69 Q63:Q70 P72:P83 Q74:Q80">
    <cfRule type="containsText" dxfId="23" priority="1" operator="containsText" text="Fail">
      <formula>NOT(ISERROR(SEARCH("Fail",P8)))</formula>
    </cfRule>
  </conditionalFormatting>
  <conditionalFormatting sqref="Q85:R86">
    <cfRule type="containsText" dxfId="22" priority="6" operator="containsText" text="Fail">
      <formula>NOT(ISERROR(SEARCH("Fail",Q85)))</formula>
    </cfRule>
  </conditionalFormatting>
  <conditionalFormatting sqref="U1:U3 T4">
    <cfRule type="containsText" dxfId="21" priority="2" operator="containsText" text="Fail">
      <formula>NOT(ISERROR(SEARCH("Fail",T1)))</formula>
    </cfRule>
  </conditionalFormatting>
  <conditionalFormatting sqref="AE9">
    <cfRule type="containsText" dxfId="20" priority="5" operator="containsText" text="Fail">
      <formula>NOT(ISERROR(SEARCH("Fail",AE9)))</formula>
    </cfRule>
  </conditionalFormatting>
  <dataValidations count="4">
    <dataValidation type="whole" operator="greaterThan" allowBlank="1" showInputMessage="1" showErrorMessage="1" sqref="X9:X34" xr:uid="{DA6FF22A-F212-4396-812E-BCC92467903B}">
      <formula1>0</formula1>
    </dataValidation>
    <dataValidation type="date" operator="greaterThan" allowBlank="1" showInputMessage="1" showErrorMessage="1" sqref="W9:W34" xr:uid="{797F0D45-BB67-4A9B-B379-7566063A7AEC}">
      <formula1>36526</formula1>
    </dataValidation>
    <dataValidation type="list" showErrorMessage="1" errorTitle="Invalid Selection" error="Select either Yes, No, or N/A from the dropdown list. Click &quot;Cancel&quot; below, then update selection." sqref="O73:O82 O23:O26 O53:O60 O39:O49 O64:O69 O37 O30:O33 O9:O19" xr:uid="{07461C1F-100F-4D66-AA44-82BBF5A85631}">
      <formula1>"Yes,No,N/A"</formula1>
    </dataValidation>
    <dataValidation type="decimal" operator="greaterThanOrEqual" allowBlank="1" showInputMessage="1" showErrorMessage="1" errorTitle="Input Error" error="Insert the claimed amount with dollars and cents in $0.00 format. Click &quot;Cancel&quot; below and try again." sqref="Y9:Y34" xr:uid="{3670A62B-5C20-412F-B753-8DCEBB7A8A16}">
      <formula1>0</formula1>
    </dataValidation>
  </dataValidations>
  <pageMargins left="0.7" right="0.7" top="1" bottom="0.75" header="0.3" footer="0.3"/>
  <pageSetup scale="70" fitToHeight="0" orientation="portrait" r:id="rId1"/>
  <headerFooter>
    <oddHeader>&amp;CConfidential QI Report
San Diego County Mental Health Plan
Behavioral Health Services
Fiscal Year 23-24</oddHeader>
    <oddFooter>&amp;LFY 23-24 Medical Record Review Report - Excel - Rev. 7-1-23</oddFooter>
  </headerFooter>
  <colBreaks count="1" manualBreakCount="1">
    <brk id="15" max="84"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178E475F-6CDA-4612-9B08-2859B2375E42}">
          <x14:formula1>
            <xm:f>Validations!$E$4:$E$15</xm:f>
          </x14:formula1>
          <xm:sqref>Z9:Z34</xm:sqref>
        </x14:dataValidation>
        <x14:dataValidation type="list" allowBlank="1" showInputMessage="1" showErrorMessage="1" xr:uid="{DDBA9F03-E5D3-424B-91F5-EF442F77D9ED}">
          <x14:formula1>
            <xm:f>Validations!$D$4:$D$7</xm:f>
          </x14:formula1>
          <xm:sqref>AA9:AA34</xm:sqref>
        </x14:dataValidation>
        <x14:dataValidation type="list" allowBlank="1" showInputMessage="1" showErrorMessage="1" xr:uid="{3010B6CA-8EB2-4868-986F-77B88513CE03}">
          <x14:formula1>
            <xm:f>Validations!$C$4:$C$54</xm:f>
          </x14:formula1>
          <xm:sqref>V9:V34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A971E-B177-4D7B-B5ED-09AE4675DA77}">
  <sheetPr codeName="Sheet19">
    <tabColor theme="3" tint="0.39997558519241921"/>
  </sheetPr>
  <dimension ref="A1:AE90"/>
  <sheetViews>
    <sheetView showGridLines="0" view="pageBreakPreview" zoomScale="92" zoomScaleNormal="80" zoomScaleSheetLayoutView="92" workbookViewId="0">
      <selection activeCell="D12" sqref="D12:N12"/>
    </sheetView>
  </sheetViews>
  <sheetFormatPr defaultColWidth="9.5703125" defaultRowHeight="15" x14ac:dyDescent="0.2"/>
  <cols>
    <col min="1" max="1" width="7.7109375" style="106" customWidth="1"/>
    <col min="2" max="2" width="8.42578125" style="4" customWidth="1"/>
    <col min="3" max="3" width="8.42578125" style="5" customWidth="1"/>
    <col min="4" max="4" width="2.5703125" style="1" customWidth="1"/>
    <col min="5" max="5" width="7.140625" style="1" customWidth="1"/>
    <col min="6" max="6" width="8.5703125" style="1" customWidth="1"/>
    <col min="7" max="7" width="6.42578125" style="1" customWidth="1"/>
    <col min="8" max="8" width="4.7109375" style="1" customWidth="1"/>
    <col min="9" max="9" width="27.28515625" style="1" customWidth="1"/>
    <col min="10" max="10" width="2.5703125" style="1" customWidth="1"/>
    <col min="11" max="11" width="18.140625" style="1" customWidth="1"/>
    <col min="12" max="12" width="3.42578125" style="1" customWidth="1"/>
    <col min="13" max="13" width="12.140625" style="1" customWidth="1"/>
    <col min="14" max="14" width="9.5703125" style="1" customWidth="1"/>
    <col min="15" max="15" width="13.28515625" style="1" customWidth="1"/>
    <col min="16" max="16" width="8.7109375" style="1" hidden="1" customWidth="1"/>
    <col min="17" max="18" width="1.85546875" style="1" customWidth="1"/>
    <col min="19" max="19" width="11.7109375" customWidth="1"/>
    <col min="20" max="20" width="10.28515625" customWidth="1"/>
    <col min="21" max="21" width="13.42578125" style="1" customWidth="1"/>
    <col min="22" max="22" width="23.42578125" style="1" customWidth="1"/>
    <col min="23" max="23" width="12.42578125" style="1" customWidth="1"/>
    <col min="24" max="25" width="9.5703125" style="1"/>
    <col min="26" max="26" width="12.140625" style="1" customWidth="1"/>
    <col min="27" max="27" width="13.7109375" style="1" customWidth="1"/>
    <col min="28" max="28" width="23.85546875" style="1" customWidth="1"/>
    <col min="29" max="16384" width="9.5703125" style="1"/>
  </cols>
  <sheetData>
    <row r="1" spans="1:31" s="5" customFormat="1" ht="15.75" x14ac:dyDescent="0.25">
      <c r="A1" s="106"/>
      <c r="B1" s="4"/>
      <c r="C1" s="560" t="s">
        <v>338</v>
      </c>
      <c r="D1" s="561"/>
      <c r="E1" s="561"/>
      <c r="F1" s="561"/>
      <c r="G1" s="562"/>
      <c r="H1"/>
      <c r="I1" s="86" t="s">
        <v>38</v>
      </c>
      <c r="J1" s="153"/>
      <c r="K1" s="560" t="s">
        <v>12</v>
      </c>
      <c r="L1" s="562"/>
      <c r="N1"/>
      <c r="O1"/>
      <c r="P1"/>
      <c r="Q1"/>
      <c r="R1"/>
      <c r="S1" s="560" t="s">
        <v>260</v>
      </c>
      <c r="T1" s="561"/>
      <c r="U1" s="562"/>
      <c r="V1"/>
      <c r="W1"/>
      <c r="X1"/>
      <c r="Y1"/>
      <c r="Z1"/>
      <c r="AA1"/>
      <c r="AB1"/>
    </row>
    <row r="2" spans="1:31" s="5" customFormat="1" ht="15" customHeight="1" x14ac:dyDescent="0.2">
      <c r="A2" s="106"/>
      <c r="B2" s="4"/>
      <c r="C2" s="583">
        <f>'Chart Review Info'!D3</f>
        <v>0</v>
      </c>
      <c r="D2" s="584"/>
      <c r="E2" s="584"/>
      <c r="F2" s="584"/>
      <c r="G2" s="585"/>
      <c r="H2"/>
      <c r="I2" s="150">
        <f>'Chart Review Info'!D4</f>
        <v>0</v>
      </c>
      <c r="J2" s="153"/>
      <c r="K2" s="592">
        <f>'Chart Review Info'!F30</f>
        <v>0</v>
      </c>
      <c r="L2" s="591"/>
      <c r="N2"/>
      <c r="O2"/>
      <c r="P2"/>
      <c r="Q2"/>
      <c r="R2"/>
      <c r="S2" s="55">
        <f>'Chart Review Info'!G4</f>
        <v>0</v>
      </c>
      <c r="T2" s="82" t="s">
        <v>261</v>
      </c>
      <c r="U2" s="83">
        <f>'Chart Review Info'!G5</f>
        <v>0</v>
      </c>
      <c r="V2"/>
      <c r="W2"/>
      <c r="X2"/>
      <c r="Y2"/>
      <c r="Z2"/>
      <c r="AA2"/>
      <c r="AB2"/>
    </row>
    <row r="3" spans="1:31" s="5" customFormat="1" x14ac:dyDescent="0.2">
      <c r="A3" s="106"/>
      <c r="B3" s="4"/>
      <c r="C3" s="84"/>
      <c r="H3"/>
      <c r="J3" s="98"/>
      <c r="V3"/>
      <c r="W3"/>
      <c r="X3"/>
      <c r="Y3"/>
      <c r="Z3"/>
      <c r="AA3"/>
      <c r="AB3"/>
    </row>
    <row r="4" spans="1:31" s="5" customFormat="1" ht="15.75" x14ac:dyDescent="0.25">
      <c r="A4" s="106"/>
      <c r="B4" s="4"/>
      <c r="C4" s="85" t="s">
        <v>202</v>
      </c>
      <c r="E4" s="85" t="s">
        <v>86</v>
      </c>
      <c r="F4" s="86"/>
      <c r="G4" s="85"/>
      <c r="H4"/>
      <c r="I4" s="151" t="s">
        <v>350</v>
      </c>
      <c r="J4" s="98"/>
      <c r="K4" s="87" t="s">
        <v>260</v>
      </c>
      <c r="L4" s="88"/>
      <c r="O4" s="86" t="s">
        <v>294</v>
      </c>
      <c r="P4"/>
      <c r="Q4"/>
      <c r="R4"/>
      <c r="S4" s="85" t="s">
        <v>12</v>
      </c>
      <c r="T4" s="563">
        <f>Prog_17</f>
        <v>0</v>
      </c>
      <c r="U4" s="564"/>
      <c r="V4"/>
      <c r="W4"/>
      <c r="X4"/>
      <c r="Y4"/>
      <c r="Z4"/>
      <c r="AA4"/>
      <c r="AB4"/>
    </row>
    <row r="5" spans="1:31" s="5" customFormat="1" x14ac:dyDescent="0.2">
      <c r="A5" s="106"/>
      <c r="B5" s="4"/>
      <c r="C5" s="54">
        <v>17</v>
      </c>
      <c r="E5" s="589" t="str">
        <f>'Chart Review Info'!C30</f>
        <v>N/A</v>
      </c>
      <c r="F5" s="590"/>
      <c r="G5" s="591"/>
      <c r="H5"/>
      <c r="I5" s="152">
        <f>Consum_17</f>
        <v>0</v>
      </c>
      <c r="J5" s="98"/>
      <c r="K5" s="293">
        <f>'Chart Review Info'!G4</f>
        <v>0</v>
      </c>
      <c r="L5" s="102" t="s">
        <v>261</v>
      </c>
      <c r="M5" s="293">
        <f>'Chart Review Info'!G5</f>
        <v>0</v>
      </c>
      <c r="O5" s="54">
        <f>'Chart Review Info'!G30</f>
        <v>0</v>
      </c>
      <c r="P5"/>
      <c r="Q5"/>
      <c r="R5"/>
      <c r="S5"/>
      <c r="T5"/>
      <c r="V5"/>
      <c r="W5"/>
      <c r="X5"/>
      <c r="Y5" s="6" t="s">
        <v>514</v>
      </c>
      <c r="Z5"/>
      <c r="AA5"/>
      <c r="AB5"/>
    </row>
    <row r="6" spans="1:31" x14ac:dyDescent="0.2">
      <c r="C6" s="154"/>
      <c r="D6" s="158"/>
      <c r="E6" s="155"/>
      <c r="F6" s="155"/>
      <c r="G6" s="155"/>
      <c r="H6" s="155"/>
      <c r="I6" s="155"/>
      <c r="J6" s="155"/>
      <c r="K6" s="155"/>
      <c r="L6" s="155"/>
      <c r="M6" s="155"/>
      <c r="N6" s="155"/>
      <c r="O6" s="155"/>
      <c r="P6" s="155"/>
      <c r="Q6" s="155"/>
      <c r="R6" s="155"/>
      <c r="T6" s="1"/>
      <c r="W6" s="51"/>
      <c r="Y6" s="329">
        <f>SUM(Y9:Y16)</f>
        <v>0</v>
      </c>
      <c r="AA6" s="13"/>
      <c r="AB6" s="13"/>
    </row>
    <row r="7" spans="1:31" ht="23.25" x14ac:dyDescent="0.25">
      <c r="C7" s="89" t="s">
        <v>262</v>
      </c>
      <c r="D7" s="159"/>
      <c r="E7" s="90"/>
      <c r="F7" s="90"/>
      <c r="G7" s="90"/>
      <c r="H7" s="90"/>
      <c r="I7" s="90"/>
      <c r="J7" s="90"/>
      <c r="K7" s="90"/>
      <c r="L7" s="90"/>
      <c r="M7" s="90"/>
      <c r="N7" s="90"/>
      <c r="O7" s="90"/>
      <c r="P7" s="90"/>
      <c r="S7" s="20"/>
      <c r="T7" s="21"/>
      <c r="U7" s="21"/>
      <c r="V7" s="21"/>
      <c r="W7" s="21"/>
      <c r="X7" s="160" t="s">
        <v>263</v>
      </c>
      <c r="Y7" s="160"/>
      <c r="Z7" s="160"/>
      <c r="AA7" s="22"/>
      <c r="AB7" s="23"/>
    </row>
    <row r="8" spans="1:31" ht="27" customHeight="1" x14ac:dyDescent="0.25">
      <c r="C8" s="91" t="s">
        <v>264</v>
      </c>
      <c r="D8" s="588" t="s">
        <v>68</v>
      </c>
      <c r="E8" s="574"/>
      <c r="F8" s="574"/>
      <c r="G8" s="574"/>
      <c r="H8" s="574"/>
      <c r="I8" s="574"/>
      <c r="J8" s="574"/>
      <c r="K8" s="574"/>
      <c r="L8" s="574"/>
      <c r="M8" s="574"/>
      <c r="N8" s="574"/>
      <c r="O8" s="92" t="s">
        <v>265</v>
      </c>
      <c r="P8" s="92" t="s">
        <v>266</v>
      </c>
      <c r="Q8" s="359"/>
      <c r="R8" s="351"/>
      <c r="S8" s="7" t="s">
        <v>449</v>
      </c>
      <c r="T8" s="9" t="s">
        <v>87</v>
      </c>
      <c r="U8" s="7" t="s">
        <v>88</v>
      </c>
      <c r="V8" s="7" t="s">
        <v>89</v>
      </c>
      <c r="W8" s="7" t="s">
        <v>90</v>
      </c>
      <c r="X8" s="7" t="s">
        <v>644</v>
      </c>
      <c r="Y8" s="8" t="s">
        <v>201</v>
      </c>
      <c r="Z8" s="116" t="s">
        <v>91</v>
      </c>
      <c r="AA8" s="117" t="s">
        <v>95</v>
      </c>
      <c r="AB8" s="117" t="s">
        <v>92</v>
      </c>
    </row>
    <row r="9" spans="1:31" ht="60" customHeight="1" x14ac:dyDescent="0.2">
      <c r="A9" s="212" t="s">
        <v>73</v>
      </c>
      <c r="B9" s="93"/>
      <c r="C9" s="94" t="s">
        <v>204</v>
      </c>
      <c r="D9" s="567" t="s">
        <v>658</v>
      </c>
      <c r="E9" s="470"/>
      <c r="F9" s="470"/>
      <c r="G9" s="470"/>
      <c r="H9" s="470"/>
      <c r="I9" s="470"/>
      <c r="J9" s="470"/>
      <c r="K9" s="470"/>
      <c r="L9" s="470"/>
      <c r="M9" s="470"/>
      <c r="N9" s="471"/>
      <c r="O9" s="71"/>
      <c r="P9" s="95" t="str">
        <f t="shared" ref="P9:P12" si="0">IF(O9="","",IF(O9="Yes","Pass",IF(O9="No","Fail","N/A")))</f>
        <v/>
      </c>
      <c r="Q9" s="173"/>
      <c r="R9" s="173"/>
      <c r="S9" s="124"/>
      <c r="T9" s="125"/>
      <c r="U9" s="125"/>
      <c r="V9" s="125"/>
      <c r="W9" s="126"/>
      <c r="X9" s="125"/>
      <c r="Y9" s="127"/>
      <c r="Z9" s="128"/>
      <c r="AA9" s="129"/>
      <c r="AB9" s="130"/>
      <c r="AC9" s="96"/>
      <c r="AD9" s="96"/>
      <c r="AE9" s="96"/>
    </row>
    <row r="10" spans="1:31" ht="87" customHeight="1" x14ac:dyDescent="0.2">
      <c r="A10" s="107">
        <v>1</v>
      </c>
      <c r="B10" s="93"/>
      <c r="C10" s="94" t="s">
        <v>205</v>
      </c>
      <c r="D10" s="567" t="s">
        <v>528</v>
      </c>
      <c r="E10" s="586"/>
      <c r="F10" s="586"/>
      <c r="G10" s="586"/>
      <c r="H10" s="586"/>
      <c r="I10" s="586"/>
      <c r="J10" s="586"/>
      <c r="K10" s="586"/>
      <c r="L10" s="586"/>
      <c r="M10" s="586"/>
      <c r="N10" s="587"/>
      <c r="O10" s="71"/>
      <c r="P10" s="95" t="str">
        <f t="shared" si="0"/>
        <v/>
      </c>
      <c r="Q10" s="173"/>
      <c r="R10" s="173"/>
      <c r="S10" s="124"/>
      <c r="T10" s="124"/>
      <c r="U10" s="124"/>
      <c r="V10" s="125"/>
      <c r="W10" s="131"/>
      <c r="X10" s="124"/>
      <c r="Y10" s="127"/>
      <c r="Z10" s="128"/>
      <c r="AA10" s="129"/>
      <c r="AB10" s="129"/>
    </row>
    <row r="11" spans="1:31" ht="50.25" customHeight="1" x14ac:dyDescent="0.2">
      <c r="A11" s="107" t="s">
        <v>70</v>
      </c>
      <c r="B11" s="93"/>
      <c r="C11" s="94" t="s">
        <v>206</v>
      </c>
      <c r="D11" s="567" t="s">
        <v>529</v>
      </c>
      <c r="E11" s="586"/>
      <c r="F11" s="586"/>
      <c r="G11" s="586"/>
      <c r="H11" s="586"/>
      <c r="I11" s="586"/>
      <c r="J11" s="586"/>
      <c r="K11" s="586"/>
      <c r="L11" s="586"/>
      <c r="M11" s="586"/>
      <c r="N11" s="587"/>
      <c r="O11" s="71"/>
      <c r="P11" s="95" t="str">
        <f t="shared" si="0"/>
        <v/>
      </c>
      <c r="Q11" s="173"/>
      <c r="R11" s="173"/>
      <c r="S11" s="124"/>
      <c r="T11" s="124"/>
      <c r="U11" s="124"/>
      <c r="V11" s="125"/>
      <c r="W11" s="131"/>
      <c r="X11" s="124"/>
      <c r="Y11" s="127"/>
      <c r="Z11" s="128"/>
      <c r="AA11" s="129"/>
      <c r="AB11" s="129"/>
    </row>
    <row r="12" spans="1:31" ht="33.75" customHeight="1" x14ac:dyDescent="0.2">
      <c r="A12" s="106">
        <v>1</v>
      </c>
      <c r="C12" s="94" t="s">
        <v>207</v>
      </c>
      <c r="D12" s="567" t="s">
        <v>659</v>
      </c>
      <c r="E12" s="586"/>
      <c r="F12" s="586"/>
      <c r="G12" s="586"/>
      <c r="H12" s="586"/>
      <c r="I12" s="586"/>
      <c r="J12" s="586"/>
      <c r="K12" s="586"/>
      <c r="L12" s="586"/>
      <c r="M12" s="586"/>
      <c r="N12" s="587"/>
      <c r="O12" s="71"/>
      <c r="P12" s="95" t="str">
        <f t="shared" si="0"/>
        <v/>
      </c>
      <c r="Q12" s="173"/>
      <c r="R12" s="173"/>
      <c r="S12" s="124"/>
      <c r="T12" s="124"/>
      <c r="U12" s="124"/>
      <c r="V12" s="125"/>
      <c r="W12" s="131"/>
      <c r="X12" s="124"/>
      <c r="Y12" s="127"/>
      <c r="Z12" s="128"/>
      <c r="AA12" s="129"/>
      <c r="AB12" s="129"/>
    </row>
    <row r="13" spans="1:31" ht="36" customHeight="1" x14ac:dyDescent="0.2">
      <c r="A13" s="107">
        <v>1</v>
      </c>
      <c r="B13" s="93"/>
      <c r="C13" s="97" t="s">
        <v>208</v>
      </c>
      <c r="D13" s="567" t="s">
        <v>656</v>
      </c>
      <c r="E13" s="470"/>
      <c r="F13" s="470"/>
      <c r="G13" s="470"/>
      <c r="H13" s="470"/>
      <c r="I13" s="470"/>
      <c r="J13" s="470"/>
      <c r="K13" s="470"/>
      <c r="L13" s="470"/>
      <c r="M13" s="470"/>
      <c r="N13" s="471"/>
      <c r="O13" s="71"/>
      <c r="P13" s="95" t="str">
        <f t="shared" ref="P13:P19" si="1">IF(O13="","",IF(O13="Yes","Pass",IF(O13="No","Fail","N/A")))</f>
        <v/>
      </c>
      <c r="Q13" s="173"/>
      <c r="R13" s="173"/>
      <c r="S13" s="124"/>
      <c r="T13" s="124"/>
      <c r="U13" s="124"/>
      <c r="V13" s="125"/>
      <c r="W13" s="131"/>
      <c r="X13" s="124"/>
      <c r="Y13" s="127"/>
      <c r="Z13" s="128"/>
      <c r="AA13" s="129"/>
      <c r="AB13" s="129"/>
    </row>
    <row r="14" spans="1:31" ht="46.5" customHeight="1" x14ac:dyDescent="0.2">
      <c r="A14" s="107" t="s">
        <v>70</v>
      </c>
      <c r="B14" s="93"/>
      <c r="C14" s="97" t="s">
        <v>209</v>
      </c>
      <c r="D14" s="567" t="s">
        <v>530</v>
      </c>
      <c r="E14" s="586"/>
      <c r="F14" s="586"/>
      <c r="G14" s="586"/>
      <c r="H14" s="586"/>
      <c r="I14" s="586"/>
      <c r="J14" s="586"/>
      <c r="K14" s="586"/>
      <c r="L14" s="586"/>
      <c r="M14" s="586"/>
      <c r="N14" s="587"/>
      <c r="O14" s="71"/>
      <c r="P14" s="95" t="str">
        <f t="shared" si="1"/>
        <v/>
      </c>
      <c r="Q14" s="173"/>
      <c r="R14" s="173"/>
      <c r="S14" s="124"/>
      <c r="T14" s="124"/>
      <c r="U14" s="124"/>
      <c r="V14" s="125"/>
      <c r="W14" s="131"/>
      <c r="X14" s="124"/>
      <c r="Y14" s="127"/>
      <c r="Z14" s="128"/>
      <c r="AA14" s="129"/>
      <c r="AB14" s="129"/>
    </row>
    <row r="15" spans="1:31" ht="49.5" customHeight="1" x14ac:dyDescent="0.2">
      <c r="A15" s="107">
        <v>1</v>
      </c>
      <c r="B15" s="93"/>
      <c r="C15" s="94" t="s">
        <v>210</v>
      </c>
      <c r="D15" s="567" t="s">
        <v>531</v>
      </c>
      <c r="E15" s="586"/>
      <c r="F15" s="586"/>
      <c r="G15" s="586"/>
      <c r="H15" s="586"/>
      <c r="I15" s="586"/>
      <c r="J15" s="586"/>
      <c r="K15" s="586"/>
      <c r="L15" s="586"/>
      <c r="M15" s="586"/>
      <c r="N15" s="587"/>
      <c r="O15" s="71"/>
      <c r="P15" s="95" t="str">
        <f t="shared" si="1"/>
        <v/>
      </c>
      <c r="Q15" s="173"/>
      <c r="R15" s="173"/>
      <c r="S15" s="124"/>
      <c r="T15" s="124"/>
      <c r="U15" s="124"/>
      <c r="V15" s="125"/>
      <c r="W15" s="131"/>
      <c r="X15" s="124"/>
      <c r="Y15" s="127"/>
      <c r="Z15" s="128"/>
      <c r="AA15" s="129"/>
      <c r="AB15" s="129"/>
    </row>
    <row r="16" spans="1:31" ht="66.75" customHeight="1" x14ac:dyDescent="0.2">
      <c r="A16" s="106">
        <v>1</v>
      </c>
      <c r="C16" s="97" t="s">
        <v>211</v>
      </c>
      <c r="D16" s="567" t="s">
        <v>532</v>
      </c>
      <c r="E16" s="586"/>
      <c r="F16" s="586"/>
      <c r="G16" s="586"/>
      <c r="H16" s="586"/>
      <c r="I16" s="586"/>
      <c r="J16" s="586"/>
      <c r="K16" s="586"/>
      <c r="L16" s="586"/>
      <c r="M16" s="586"/>
      <c r="N16" s="587"/>
      <c r="O16" s="71"/>
      <c r="P16" s="95" t="str">
        <f t="shared" si="1"/>
        <v/>
      </c>
      <c r="Q16" s="173"/>
      <c r="R16" s="173"/>
      <c r="S16" s="124"/>
      <c r="T16" s="124"/>
      <c r="U16" s="124"/>
      <c r="V16" s="125"/>
      <c r="W16" s="131"/>
      <c r="X16" s="124"/>
      <c r="Y16" s="127"/>
      <c r="Z16" s="128"/>
      <c r="AA16" s="129"/>
      <c r="AB16" s="129"/>
    </row>
    <row r="17" spans="1:28" ht="39" customHeight="1" x14ac:dyDescent="0.2">
      <c r="A17" s="107" t="s">
        <v>70</v>
      </c>
      <c r="B17" s="93"/>
      <c r="C17" s="97" t="s">
        <v>212</v>
      </c>
      <c r="D17" s="567" t="s">
        <v>533</v>
      </c>
      <c r="E17" s="586"/>
      <c r="F17" s="586"/>
      <c r="G17" s="586"/>
      <c r="H17" s="586"/>
      <c r="I17" s="586"/>
      <c r="J17" s="586"/>
      <c r="K17" s="586"/>
      <c r="L17" s="586"/>
      <c r="M17" s="586"/>
      <c r="N17" s="587"/>
      <c r="O17" s="71"/>
      <c r="P17" s="95" t="str">
        <f t="shared" si="1"/>
        <v/>
      </c>
      <c r="Q17" s="173"/>
      <c r="R17" s="173"/>
      <c r="S17" s="124"/>
      <c r="T17" s="124"/>
      <c r="U17" s="124"/>
      <c r="V17" s="125"/>
      <c r="W17" s="131"/>
      <c r="X17" s="124"/>
      <c r="Y17" s="127"/>
      <c r="Z17" s="128"/>
      <c r="AA17" s="129"/>
      <c r="AB17" s="129"/>
    </row>
    <row r="18" spans="1:28" ht="83.25" customHeight="1" x14ac:dyDescent="0.2">
      <c r="A18" s="107" t="s">
        <v>70</v>
      </c>
      <c r="B18" s="93"/>
      <c r="C18" s="94" t="s">
        <v>657</v>
      </c>
      <c r="D18" s="567" t="s">
        <v>534</v>
      </c>
      <c r="E18" s="586"/>
      <c r="F18" s="586"/>
      <c r="G18" s="586"/>
      <c r="H18" s="586"/>
      <c r="I18" s="586"/>
      <c r="J18" s="586"/>
      <c r="K18" s="586"/>
      <c r="L18" s="586"/>
      <c r="M18" s="586"/>
      <c r="N18" s="587"/>
      <c r="O18" s="71"/>
      <c r="P18" s="95" t="str">
        <f t="shared" si="1"/>
        <v/>
      </c>
      <c r="Q18" s="173"/>
      <c r="R18" s="173"/>
      <c r="S18" s="124"/>
      <c r="T18" s="124"/>
      <c r="U18" s="124"/>
      <c r="V18" s="125"/>
      <c r="W18" s="131"/>
      <c r="X18" s="124"/>
      <c r="Y18" s="127"/>
      <c r="Z18" s="128"/>
      <c r="AA18" s="129"/>
      <c r="AB18" s="129"/>
    </row>
    <row r="19" spans="1:28" ht="47.25" customHeight="1" x14ac:dyDescent="0.2">
      <c r="A19" s="107" t="s">
        <v>81</v>
      </c>
      <c r="B19" s="93"/>
      <c r="C19" s="391" t="s">
        <v>213</v>
      </c>
      <c r="D19" s="571" t="s">
        <v>535</v>
      </c>
      <c r="E19" s="572"/>
      <c r="F19" s="572"/>
      <c r="G19" s="572"/>
      <c r="H19" s="572"/>
      <c r="I19" s="572"/>
      <c r="J19" s="572"/>
      <c r="K19" s="572"/>
      <c r="L19" s="572"/>
      <c r="M19" s="572"/>
      <c r="N19" s="572"/>
      <c r="O19" s="71"/>
      <c r="P19" s="95" t="str">
        <f t="shared" si="1"/>
        <v/>
      </c>
      <c r="Q19" s="173"/>
      <c r="R19" s="173"/>
      <c r="S19" s="124"/>
      <c r="T19" s="124"/>
      <c r="U19" s="124"/>
      <c r="V19" s="125"/>
      <c r="W19" s="131"/>
      <c r="X19" s="124"/>
      <c r="Y19" s="127"/>
      <c r="Z19" s="128"/>
      <c r="AA19" s="129"/>
      <c r="AB19" s="129"/>
    </row>
    <row r="20" spans="1:28" ht="22.5" customHeight="1" x14ac:dyDescent="0.2">
      <c r="A20" s="106">
        <v>1</v>
      </c>
      <c r="B20" s="93"/>
      <c r="C20" s="575" t="s">
        <v>267</v>
      </c>
      <c r="D20" s="470"/>
      <c r="E20" s="470"/>
      <c r="F20" s="470"/>
      <c r="G20" s="470"/>
      <c r="H20" s="470"/>
      <c r="I20" s="470"/>
      <c r="J20" s="470"/>
      <c r="K20" s="470"/>
      <c r="L20" s="470"/>
      <c r="M20" s="470"/>
      <c r="N20" s="470"/>
      <c r="O20"/>
      <c r="P20" s="392"/>
      <c r="Q20" s="174"/>
      <c r="R20" s="174"/>
      <c r="S20" s="124"/>
      <c r="T20" s="124"/>
      <c r="U20" s="124"/>
      <c r="V20" s="125"/>
      <c r="W20" s="131"/>
      <c r="X20" s="124"/>
      <c r="Y20" s="127"/>
      <c r="Z20" s="128"/>
      <c r="AA20" s="129"/>
      <c r="AB20" s="129"/>
    </row>
    <row r="21" spans="1:28" ht="30.75" customHeight="1" x14ac:dyDescent="0.2">
      <c r="A21" s="107" t="s">
        <v>73</v>
      </c>
      <c r="C21" s="581" t="s">
        <v>17</v>
      </c>
      <c r="D21" s="470"/>
      <c r="E21" s="470"/>
      <c r="F21" s="470"/>
      <c r="G21" s="470"/>
      <c r="H21" s="470"/>
      <c r="I21" s="470"/>
      <c r="J21" s="470"/>
      <c r="K21" s="470"/>
      <c r="L21" s="470"/>
      <c r="M21" s="470"/>
      <c r="N21" s="471"/>
      <c r="O21" s="345"/>
      <c r="P21" s="343"/>
      <c r="Q21" s="172"/>
      <c r="R21" s="172"/>
      <c r="S21" s="124"/>
      <c r="T21" s="124"/>
      <c r="U21" s="124"/>
      <c r="V21" s="125"/>
      <c r="W21" s="131"/>
      <c r="X21" s="124"/>
      <c r="Y21" s="132"/>
      <c r="Z21" s="128"/>
      <c r="AA21" s="129"/>
      <c r="AB21" s="129"/>
    </row>
    <row r="22" spans="1:28" ht="18" customHeight="1" x14ac:dyDescent="0.25">
      <c r="C22" s="100" t="s">
        <v>264</v>
      </c>
      <c r="D22" s="573" t="s">
        <v>71</v>
      </c>
      <c r="E22" s="574"/>
      <c r="F22" s="574"/>
      <c r="G22" s="574"/>
      <c r="H22" s="574"/>
      <c r="I22" s="574"/>
      <c r="J22" s="574"/>
      <c r="K22" s="574"/>
      <c r="L22" s="574"/>
      <c r="M22" s="574"/>
      <c r="N22" s="440"/>
      <c r="O22" s="101" t="s">
        <v>265</v>
      </c>
      <c r="P22" s="101" t="s">
        <v>266</v>
      </c>
      <c r="Q22" s="359"/>
      <c r="R22" s="175"/>
      <c r="S22" s="124"/>
      <c r="T22" s="124"/>
      <c r="U22" s="124"/>
      <c r="V22" s="125"/>
      <c r="W22" s="131"/>
      <c r="X22" s="124"/>
      <c r="Y22" s="127"/>
      <c r="Z22" s="128"/>
      <c r="AA22" s="129"/>
      <c r="AB22" s="129"/>
    </row>
    <row r="23" spans="1:28" ht="18" customHeight="1" x14ac:dyDescent="0.2">
      <c r="A23" s="106">
        <v>1</v>
      </c>
      <c r="C23" s="102" t="s">
        <v>215</v>
      </c>
      <c r="D23" s="567" t="s">
        <v>268</v>
      </c>
      <c r="E23" s="470"/>
      <c r="F23" s="470"/>
      <c r="G23" s="470"/>
      <c r="H23" s="470"/>
      <c r="I23" s="470"/>
      <c r="J23" s="470"/>
      <c r="K23" s="470"/>
      <c r="L23" s="470"/>
      <c r="M23" s="470"/>
      <c r="N23" s="471"/>
      <c r="O23" s="71"/>
      <c r="P23" s="95" t="str">
        <f>IF(O23="","",IF(O23="Yes","Pass",IF(O23="No","Fail","N/A")))</f>
        <v/>
      </c>
      <c r="Q23" s="173"/>
      <c r="R23" s="173"/>
      <c r="S23" s="124"/>
      <c r="T23" s="124"/>
      <c r="U23" s="124"/>
      <c r="V23" s="125"/>
      <c r="W23" s="131"/>
      <c r="X23" s="124"/>
      <c r="Y23" s="127"/>
      <c r="Z23" s="128"/>
      <c r="AA23" s="129"/>
      <c r="AB23" s="129"/>
    </row>
    <row r="24" spans="1:28" ht="45" customHeight="1" x14ac:dyDescent="0.2">
      <c r="A24" s="107" t="s">
        <v>69</v>
      </c>
      <c r="C24" s="97" t="s">
        <v>216</v>
      </c>
      <c r="D24" s="567" t="s">
        <v>269</v>
      </c>
      <c r="E24" s="470"/>
      <c r="F24" s="470"/>
      <c r="G24" s="470"/>
      <c r="H24" s="470"/>
      <c r="I24" s="470"/>
      <c r="J24" s="470"/>
      <c r="K24" s="470"/>
      <c r="L24" s="470"/>
      <c r="M24" s="470"/>
      <c r="N24" s="471"/>
      <c r="O24" s="71"/>
      <c r="P24" s="95" t="str">
        <f>IF(O24="","",IF(O24="Yes","Pass",IF(O24="No","Fail","N/A")))</f>
        <v/>
      </c>
      <c r="Q24" s="173"/>
      <c r="R24" s="173"/>
      <c r="S24" s="124"/>
      <c r="T24" s="124"/>
      <c r="U24" s="124"/>
      <c r="V24" s="125"/>
      <c r="W24" s="131"/>
      <c r="X24" s="124"/>
      <c r="Y24" s="127"/>
      <c r="Z24" s="128"/>
      <c r="AA24" s="129"/>
      <c r="AB24" s="129"/>
    </row>
    <row r="25" spans="1:28" ht="45" customHeight="1" x14ac:dyDescent="0.2">
      <c r="A25" s="107" t="s">
        <v>69</v>
      </c>
      <c r="B25" s="93"/>
      <c r="C25" s="97" t="s">
        <v>217</v>
      </c>
      <c r="D25" s="567" t="s">
        <v>270</v>
      </c>
      <c r="E25" s="470"/>
      <c r="F25" s="470"/>
      <c r="G25" s="470"/>
      <c r="H25" s="470"/>
      <c r="I25" s="470"/>
      <c r="J25" s="470"/>
      <c r="K25" s="470"/>
      <c r="L25" s="470"/>
      <c r="M25" s="470"/>
      <c r="N25" s="471"/>
      <c r="O25" s="71"/>
      <c r="P25" s="95" t="str">
        <f>IF(O25="","",IF(O25="Yes","Pass",IF(O25="No","Fail","N/A")))</f>
        <v/>
      </c>
      <c r="Q25" s="173"/>
      <c r="R25" s="173"/>
      <c r="S25" s="124"/>
      <c r="T25" s="124"/>
      <c r="U25" s="124"/>
      <c r="V25" s="125"/>
      <c r="W25" s="131"/>
      <c r="X25" s="124"/>
      <c r="Y25" s="127"/>
      <c r="Z25" s="128"/>
      <c r="AA25" s="129"/>
      <c r="AB25" s="129"/>
    </row>
    <row r="26" spans="1:28" ht="51.75" customHeight="1" x14ac:dyDescent="0.2">
      <c r="A26" s="107" t="s">
        <v>69</v>
      </c>
      <c r="B26" s="93"/>
      <c r="C26" s="97" t="s">
        <v>218</v>
      </c>
      <c r="D26" s="567" t="s">
        <v>271</v>
      </c>
      <c r="E26" s="470"/>
      <c r="F26" s="470"/>
      <c r="G26" s="470"/>
      <c r="H26" s="470"/>
      <c r="I26" s="470"/>
      <c r="J26" s="470"/>
      <c r="K26" s="470"/>
      <c r="L26" s="470"/>
      <c r="M26" s="470"/>
      <c r="N26" s="470"/>
      <c r="O26" s="71"/>
      <c r="P26" s="95" t="str">
        <f>IF(O26="","",IF(O26="Yes","Pass",IF(O26="No","Fail","N/A")))</f>
        <v/>
      </c>
      <c r="Q26" s="173"/>
      <c r="R26" s="173"/>
      <c r="S26" s="124"/>
      <c r="T26" s="124"/>
      <c r="U26" s="124"/>
      <c r="V26" s="125"/>
      <c r="W26" s="131"/>
      <c r="X26" s="124"/>
      <c r="Y26" s="127"/>
      <c r="Z26" s="128"/>
      <c r="AA26" s="129"/>
      <c r="AB26" s="129"/>
    </row>
    <row r="27" spans="1:28" ht="22.5" customHeight="1" x14ac:dyDescent="0.2">
      <c r="A27" s="106">
        <v>1</v>
      </c>
      <c r="B27" s="93"/>
      <c r="C27" s="580" t="s">
        <v>272</v>
      </c>
      <c r="D27" s="470"/>
      <c r="E27" s="470"/>
      <c r="F27" s="470"/>
      <c r="G27" s="470"/>
      <c r="H27" s="470"/>
      <c r="I27" s="470"/>
      <c r="J27" s="470"/>
      <c r="K27" s="470"/>
      <c r="L27" s="470"/>
      <c r="M27" s="470"/>
      <c r="N27" s="470"/>
      <c r="O27" s="341"/>
      <c r="Q27" s="123"/>
      <c r="R27" s="123"/>
      <c r="S27" s="124"/>
      <c r="T27" s="124"/>
      <c r="U27" s="124"/>
      <c r="V27" s="125"/>
      <c r="W27" s="131"/>
      <c r="X27" s="124"/>
      <c r="Y27" s="127"/>
      <c r="Z27" s="128"/>
      <c r="AA27" s="129"/>
      <c r="AB27" s="129"/>
    </row>
    <row r="28" spans="1:28" ht="29.25" customHeight="1" x14ac:dyDescent="0.2">
      <c r="A28" s="107" t="s">
        <v>73</v>
      </c>
      <c r="C28" s="581" t="s">
        <v>17</v>
      </c>
      <c r="D28" s="470"/>
      <c r="E28" s="470"/>
      <c r="F28" s="470"/>
      <c r="G28" s="470"/>
      <c r="H28" s="470"/>
      <c r="I28" s="470"/>
      <c r="J28" s="470"/>
      <c r="K28" s="470"/>
      <c r="L28" s="470"/>
      <c r="M28" s="470"/>
      <c r="N28" s="470"/>
      <c r="O28" s="345"/>
      <c r="P28" s="340"/>
      <c r="Q28" s="123"/>
      <c r="R28" s="123"/>
      <c r="S28" s="124"/>
      <c r="T28" s="124"/>
      <c r="U28" s="124"/>
      <c r="V28" s="125"/>
      <c r="W28" s="131"/>
      <c r="X28" s="133"/>
      <c r="Y28" s="132"/>
      <c r="Z28" s="128"/>
      <c r="AA28" s="129"/>
      <c r="AB28" s="129"/>
    </row>
    <row r="29" spans="1:28" ht="24" customHeight="1" x14ac:dyDescent="0.25">
      <c r="C29" s="100" t="s">
        <v>264</v>
      </c>
      <c r="D29" s="573" t="s">
        <v>465</v>
      </c>
      <c r="E29" s="574"/>
      <c r="F29" s="574"/>
      <c r="G29" s="574"/>
      <c r="H29" s="574"/>
      <c r="I29" s="574"/>
      <c r="J29" s="574"/>
      <c r="K29" s="574"/>
      <c r="L29" s="574"/>
      <c r="M29" s="574"/>
      <c r="N29" s="574"/>
      <c r="O29" s="101" t="s">
        <v>265</v>
      </c>
      <c r="P29" s="101" t="s">
        <v>266</v>
      </c>
      <c r="Q29" s="359"/>
      <c r="R29" s="175"/>
      <c r="S29" s="124"/>
      <c r="T29" s="124"/>
      <c r="U29" s="124"/>
      <c r="V29" s="125"/>
      <c r="W29" s="131"/>
      <c r="X29" s="133"/>
      <c r="Y29" s="132"/>
      <c r="Z29" s="128"/>
      <c r="AA29" s="129"/>
      <c r="AB29" s="129"/>
    </row>
    <row r="30" spans="1:28" ht="66" customHeight="1" x14ac:dyDescent="0.2">
      <c r="A30" s="107" t="s">
        <v>69</v>
      </c>
      <c r="C30" s="102" t="s">
        <v>466</v>
      </c>
      <c r="D30" s="567" t="s">
        <v>467</v>
      </c>
      <c r="E30" s="572"/>
      <c r="F30" s="572"/>
      <c r="G30" s="572"/>
      <c r="H30" s="572"/>
      <c r="I30" s="572"/>
      <c r="J30" s="572"/>
      <c r="K30" s="572"/>
      <c r="L30" s="572"/>
      <c r="M30" s="572"/>
      <c r="N30" s="572"/>
      <c r="O30" s="71"/>
      <c r="P30" s="95" t="str">
        <f t="shared" ref="P30:P31" si="2">IF(O30="","",IF(O30="Yes","Pass",IF(O30="No","Fail","N/A")))</f>
        <v/>
      </c>
      <c r="Q30" s="173"/>
      <c r="R30" s="173"/>
      <c r="S30" s="124"/>
      <c r="T30" s="124"/>
      <c r="U30" s="124"/>
      <c r="V30" s="125"/>
      <c r="W30" s="131"/>
      <c r="X30" s="133"/>
      <c r="Y30" s="132"/>
      <c r="Z30" s="128"/>
      <c r="AA30" s="129"/>
      <c r="AB30" s="129"/>
    </row>
    <row r="31" spans="1:28" ht="33.75" customHeight="1" x14ac:dyDescent="0.2">
      <c r="A31" s="107" t="s">
        <v>73</v>
      </c>
      <c r="B31" s="93"/>
      <c r="C31" s="102" t="s">
        <v>471</v>
      </c>
      <c r="D31" s="579" t="s">
        <v>468</v>
      </c>
      <c r="E31" s="572"/>
      <c r="F31" s="572"/>
      <c r="G31" s="572"/>
      <c r="H31" s="572"/>
      <c r="I31" s="572"/>
      <c r="J31" s="572"/>
      <c r="K31" s="572"/>
      <c r="L31" s="572"/>
      <c r="M31" s="572"/>
      <c r="N31" s="572"/>
      <c r="O31" s="71"/>
      <c r="P31" s="95" t="str">
        <f t="shared" si="2"/>
        <v/>
      </c>
      <c r="Q31" s="173"/>
      <c r="R31" s="173"/>
      <c r="S31" s="124"/>
      <c r="T31" s="124"/>
      <c r="U31" s="124"/>
      <c r="V31" s="125"/>
      <c r="W31" s="131"/>
      <c r="X31" s="133"/>
      <c r="Y31" s="132"/>
      <c r="Z31" s="128"/>
      <c r="AA31" s="129"/>
      <c r="AB31" s="129"/>
    </row>
    <row r="32" spans="1:28" ht="45" customHeight="1" x14ac:dyDescent="0.2">
      <c r="A32" s="107" t="s">
        <v>69</v>
      </c>
      <c r="B32" s="93"/>
      <c r="C32" s="102" t="s">
        <v>472</v>
      </c>
      <c r="D32" s="579" t="s">
        <v>469</v>
      </c>
      <c r="E32" s="572"/>
      <c r="F32" s="572"/>
      <c r="G32" s="572"/>
      <c r="H32" s="572"/>
      <c r="I32" s="572"/>
      <c r="J32" s="572"/>
      <c r="K32" s="572"/>
      <c r="L32" s="572"/>
      <c r="M32" s="572"/>
      <c r="N32" s="572"/>
      <c r="O32" s="71"/>
      <c r="P32" s="95" t="str">
        <f>IF(O32="","",IF(O32="Yes","Pass",IF(O32="No","Fail","N/A")))</f>
        <v/>
      </c>
      <c r="Q32" s="173"/>
      <c r="R32" s="173"/>
      <c r="S32" s="124"/>
      <c r="T32" s="124"/>
      <c r="U32" s="124"/>
      <c r="V32" s="125"/>
      <c r="W32" s="131"/>
      <c r="X32" s="133"/>
      <c r="Y32" s="132"/>
      <c r="Z32" s="128"/>
      <c r="AA32" s="129"/>
      <c r="AB32" s="129"/>
    </row>
    <row r="33" spans="1:28" ht="30" customHeight="1" x14ac:dyDescent="0.2">
      <c r="A33" s="107" t="s">
        <v>70</v>
      </c>
      <c r="B33" s="93"/>
      <c r="C33" s="102" t="s">
        <v>473</v>
      </c>
      <c r="D33" s="579" t="s">
        <v>470</v>
      </c>
      <c r="E33" s="572"/>
      <c r="F33" s="572"/>
      <c r="G33" s="572"/>
      <c r="H33" s="572"/>
      <c r="I33" s="572"/>
      <c r="J33" s="572"/>
      <c r="K33" s="572"/>
      <c r="L33" s="572"/>
      <c r="M33" s="572"/>
      <c r="N33" s="572"/>
      <c r="O33" s="71"/>
      <c r="P33" s="95" t="str">
        <f>IF(O33="","",IF(O33="Yes","Pass",IF(O33="No","Fail","N/A")))</f>
        <v/>
      </c>
      <c r="Q33" s="173"/>
      <c r="R33" s="173"/>
      <c r="S33" s="124"/>
      <c r="T33" s="124"/>
      <c r="U33" s="124"/>
      <c r="V33" s="125"/>
      <c r="W33" s="131"/>
      <c r="X33" s="133"/>
      <c r="Y33" s="132"/>
      <c r="Z33" s="128"/>
      <c r="AA33" s="129"/>
      <c r="AB33" s="129"/>
    </row>
    <row r="34" spans="1:28" ht="24" customHeight="1" x14ac:dyDescent="0.2">
      <c r="A34" s="107" t="s">
        <v>69</v>
      </c>
      <c r="B34" s="93"/>
      <c r="C34" s="580" t="s">
        <v>545</v>
      </c>
      <c r="D34" s="470"/>
      <c r="E34" s="470"/>
      <c r="F34" s="470"/>
      <c r="G34" s="470"/>
      <c r="H34" s="470"/>
      <c r="I34" s="470"/>
      <c r="J34" s="470"/>
      <c r="K34" s="470"/>
      <c r="L34" s="470"/>
      <c r="M34" s="470"/>
      <c r="N34" s="470"/>
      <c r="O34" s="341"/>
      <c r="Q34" s="359"/>
      <c r="S34" s="124"/>
      <c r="T34" s="124"/>
      <c r="U34" s="124"/>
      <c r="V34" s="125"/>
      <c r="W34" s="131"/>
      <c r="X34" s="133"/>
      <c r="Y34" s="132"/>
      <c r="Z34" s="128"/>
      <c r="AA34" s="129"/>
      <c r="AB34" s="129"/>
    </row>
    <row r="35" spans="1:28" ht="27.75" customHeight="1" x14ac:dyDescent="0.2">
      <c r="A35" s="107" t="s">
        <v>69</v>
      </c>
      <c r="B35" s="93"/>
      <c r="C35" s="581" t="s">
        <v>17</v>
      </c>
      <c r="D35" s="470"/>
      <c r="E35" s="470"/>
      <c r="F35" s="470"/>
      <c r="G35" s="470"/>
      <c r="H35" s="470"/>
      <c r="I35" s="470"/>
      <c r="J35" s="470"/>
      <c r="K35" s="470"/>
      <c r="L35" s="470"/>
      <c r="M35" s="470"/>
      <c r="N35" s="470"/>
      <c r="O35" s="345"/>
      <c r="Q35" s="173"/>
      <c r="R35"/>
      <c r="U35"/>
      <c r="V35"/>
      <c r="W35"/>
      <c r="X35"/>
      <c r="Y35"/>
      <c r="Z35"/>
      <c r="AA35"/>
      <c r="AB35"/>
    </row>
    <row r="36" spans="1:28" ht="24.75" customHeight="1" x14ac:dyDescent="0.25">
      <c r="A36" s="107" t="s">
        <v>70</v>
      </c>
      <c r="B36" s="93"/>
      <c r="C36" s="100" t="s">
        <v>264</v>
      </c>
      <c r="D36" s="573" t="s">
        <v>72</v>
      </c>
      <c r="E36" s="574"/>
      <c r="F36" s="574"/>
      <c r="G36" s="574"/>
      <c r="H36" s="574"/>
      <c r="I36" s="574"/>
      <c r="J36" s="574"/>
      <c r="K36" s="574"/>
      <c r="L36" s="574"/>
      <c r="M36" s="574"/>
      <c r="N36" s="440"/>
      <c r="O36" s="101" t="s">
        <v>265</v>
      </c>
      <c r="P36" s="101" t="s">
        <v>266</v>
      </c>
      <c r="Q36" s="173"/>
      <c r="R36"/>
      <c r="U36"/>
      <c r="V36"/>
      <c r="W36"/>
      <c r="X36"/>
      <c r="Y36"/>
      <c r="Z36"/>
      <c r="AA36"/>
      <c r="AB36"/>
    </row>
    <row r="37" spans="1:28" ht="31.5" customHeight="1" x14ac:dyDescent="0.2">
      <c r="A37" s="107" t="s">
        <v>73</v>
      </c>
      <c r="B37" s="93"/>
      <c r="C37" s="103" t="s">
        <v>220</v>
      </c>
      <c r="D37" s="445" t="s">
        <v>544</v>
      </c>
      <c r="E37" s="568"/>
      <c r="F37" s="568"/>
      <c r="G37" s="568"/>
      <c r="H37" s="568"/>
      <c r="I37" s="568"/>
      <c r="J37" s="568"/>
      <c r="K37" s="568"/>
      <c r="L37" s="568"/>
      <c r="M37" s="568"/>
      <c r="N37" s="569"/>
      <c r="O37" s="71"/>
      <c r="P37" s="95" t="str">
        <f>IF(O37="","",IF(O37="Yes","Pass",IF(O37="No","Fail","N/A")))</f>
        <v/>
      </c>
      <c r="Q37" s="173"/>
      <c r="R37"/>
      <c r="U37"/>
      <c r="V37"/>
      <c r="W37"/>
      <c r="X37"/>
      <c r="Y37"/>
      <c r="Z37"/>
      <c r="AA37"/>
      <c r="AB37"/>
    </row>
    <row r="38" spans="1:28" ht="30" customHeight="1" x14ac:dyDescent="0.2">
      <c r="A38" s="107" t="s">
        <v>70</v>
      </c>
      <c r="B38" s="93"/>
      <c r="C38" s="185"/>
      <c r="D38" s="296" t="s">
        <v>351</v>
      </c>
      <c r="E38" s="297"/>
      <c r="F38" s="298"/>
      <c r="G38" s="299"/>
      <c r="I38" s="300" t="s">
        <v>352</v>
      </c>
      <c r="J38" s="299"/>
      <c r="K38" s="301" t="s">
        <v>353</v>
      </c>
      <c r="L38" s="191"/>
      <c r="M38" s="302"/>
      <c r="N38" s="303" t="e">
        <f>J38/G38</f>
        <v>#DIV/0!</v>
      </c>
      <c r="Q38" s="173"/>
      <c r="R38"/>
      <c r="U38"/>
      <c r="V38"/>
      <c r="W38"/>
      <c r="X38"/>
      <c r="Y38"/>
      <c r="Z38"/>
      <c r="AA38"/>
      <c r="AB38"/>
    </row>
    <row r="39" spans="1:28" ht="38.25" customHeight="1" x14ac:dyDescent="0.2">
      <c r="A39" s="107" t="s">
        <v>73</v>
      </c>
      <c r="B39" s="93"/>
      <c r="C39" s="97" t="s">
        <v>133</v>
      </c>
      <c r="D39" s="579" t="s">
        <v>645</v>
      </c>
      <c r="E39" s="572"/>
      <c r="F39" s="572"/>
      <c r="G39" s="572"/>
      <c r="H39" s="572"/>
      <c r="I39" s="572"/>
      <c r="J39" s="572"/>
      <c r="K39" s="572"/>
      <c r="L39" s="572"/>
      <c r="M39" s="572"/>
      <c r="N39" s="572"/>
      <c r="O39" s="71"/>
      <c r="P39" s="95" t="str">
        <f t="shared" ref="P39:P49" si="3">IF(O39="","",IF(O39="Yes","Pass",IF(O39="No","Fail","N/A")))</f>
        <v/>
      </c>
      <c r="Q39" s="173"/>
      <c r="R39"/>
      <c r="U39"/>
      <c r="V39"/>
      <c r="W39"/>
      <c r="X39"/>
      <c r="Y39"/>
      <c r="Z39"/>
      <c r="AA39"/>
      <c r="AB39"/>
    </row>
    <row r="40" spans="1:28" ht="30" customHeight="1" x14ac:dyDescent="0.2">
      <c r="A40" s="107" t="s">
        <v>70</v>
      </c>
      <c r="B40" s="93"/>
      <c r="C40" s="97" t="s">
        <v>221</v>
      </c>
      <c r="D40" s="579" t="s">
        <v>536</v>
      </c>
      <c r="E40" s="470"/>
      <c r="F40" s="470"/>
      <c r="G40" s="470"/>
      <c r="H40" s="470"/>
      <c r="I40" s="470"/>
      <c r="J40" s="470"/>
      <c r="K40" s="470"/>
      <c r="L40" s="470"/>
      <c r="M40" s="470"/>
      <c r="N40" s="470"/>
      <c r="O40" s="71"/>
      <c r="P40" s="95" t="str">
        <f t="shared" si="3"/>
        <v/>
      </c>
      <c r="Q40" s="173"/>
      <c r="R40"/>
      <c r="U40"/>
      <c r="V40"/>
      <c r="W40"/>
      <c r="X40"/>
      <c r="Y40"/>
      <c r="Z40"/>
      <c r="AA40"/>
      <c r="AB40"/>
    </row>
    <row r="41" spans="1:28" ht="41.25" customHeight="1" x14ac:dyDescent="0.2">
      <c r="A41" s="107">
        <v>1</v>
      </c>
      <c r="B41" s="93"/>
      <c r="C41" s="103" t="s">
        <v>222</v>
      </c>
      <c r="D41" s="445" t="s">
        <v>537</v>
      </c>
      <c r="E41" s="568"/>
      <c r="F41" s="568"/>
      <c r="G41" s="568"/>
      <c r="H41" s="568"/>
      <c r="I41" s="568"/>
      <c r="J41" s="568"/>
      <c r="K41" s="568"/>
      <c r="L41" s="568"/>
      <c r="M41" s="568"/>
      <c r="N41" s="569"/>
      <c r="O41" s="71"/>
      <c r="P41" s="95" t="str">
        <f t="shared" si="3"/>
        <v/>
      </c>
      <c r="Q41" s="173"/>
      <c r="R41"/>
      <c r="U41"/>
      <c r="V41"/>
      <c r="W41"/>
      <c r="X41"/>
      <c r="Y41"/>
      <c r="Z41"/>
      <c r="AA41"/>
      <c r="AB41"/>
    </row>
    <row r="42" spans="1:28" ht="34.5" customHeight="1" x14ac:dyDescent="0.2">
      <c r="A42" s="107"/>
      <c r="B42" s="93"/>
      <c r="C42" s="97" t="s">
        <v>223</v>
      </c>
      <c r="D42" s="445" t="s">
        <v>538</v>
      </c>
      <c r="E42" s="568"/>
      <c r="F42" s="568"/>
      <c r="G42" s="568"/>
      <c r="H42" s="568"/>
      <c r="I42" s="568"/>
      <c r="J42" s="568"/>
      <c r="K42" s="568"/>
      <c r="L42" s="568"/>
      <c r="M42" s="568"/>
      <c r="N42" s="569"/>
      <c r="O42" s="71"/>
      <c r="P42" s="95" t="str">
        <f t="shared" si="3"/>
        <v/>
      </c>
      <c r="Q42" s="173"/>
      <c r="R42"/>
      <c r="U42"/>
      <c r="V42"/>
      <c r="W42"/>
      <c r="X42"/>
      <c r="Y42"/>
      <c r="Z42"/>
      <c r="AA42"/>
      <c r="AB42"/>
    </row>
    <row r="43" spans="1:28" ht="33" customHeight="1" x14ac:dyDescent="0.2">
      <c r="A43" s="106">
        <v>1</v>
      </c>
      <c r="B43" s="93"/>
      <c r="C43" s="97" t="s">
        <v>224</v>
      </c>
      <c r="D43" s="445" t="s">
        <v>273</v>
      </c>
      <c r="E43" s="568"/>
      <c r="F43" s="568"/>
      <c r="G43" s="568"/>
      <c r="H43" s="568"/>
      <c r="I43" s="568"/>
      <c r="J43" s="568"/>
      <c r="K43" s="568"/>
      <c r="L43" s="568"/>
      <c r="M43" s="568"/>
      <c r="N43" s="569"/>
      <c r="O43" s="71"/>
      <c r="P43" s="95" t="str">
        <f t="shared" si="3"/>
        <v/>
      </c>
      <c r="Q43" s="173"/>
      <c r="R43"/>
      <c r="U43"/>
      <c r="V43"/>
      <c r="W43"/>
      <c r="X43"/>
      <c r="Y43"/>
      <c r="Z43"/>
      <c r="AA43"/>
      <c r="AB43"/>
    </row>
    <row r="44" spans="1:28" ht="35.25" customHeight="1" x14ac:dyDescent="0.2">
      <c r="A44" s="107" t="s">
        <v>73</v>
      </c>
      <c r="C44" s="103" t="s">
        <v>225</v>
      </c>
      <c r="D44" s="567" t="s">
        <v>274</v>
      </c>
      <c r="E44" s="470"/>
      <c r="F44" s="470"/>
      <c r="G44" s="470"/>
      <c r="H44" s="470"/>
      <c r="I44" s="470"/>
      <c r="J44" s="470"/>
      <c r="K44" s="470"/>
      <c r="L44" s="470"/>
      <c r="M44" s="470"/>
      <c r="N44" s="470"/>
      <c r="O44" s="71"/>
      <c r="P44" s="95" t="str">
        <f t="shared" si="3"/>
        <v/>
      </c>
      <c r="Q44" s="173"/>
      <c r="R44"/>
      <c r="U44"/>
      <c r="V44"/>
      <c r="W44"/>
      <c r="X44"/>
      <c r="Y44"/>
      <c r="Z44"/>
      <c r="AA44"/>
      <c r="AB44"/>
    </row>
    <row r="45" spans="1:28" ht="35.25" customHeight="1" x14ac:dyDescent="0.2">
      <c r="B45" s="93"/>
      <c r="C45" s="97" t="s">
        <v>226</v>
      </c>
      <c r="D45" s="445" t="s">
        <v>275</v>
      </c>
      <c r="E45" s="568"/>
      <c r="F45" s="568"/>
      <c r="G45" s="568"/>
      <c r="H45" s="568"/>
      <c r="I45" s="568"/>
      <c r="J45" s="568"/>
      <c r="K45" s="568"/>
      <c r="L45" s="568"/>
      <c r="M45" s="568"/>
      <c r="N45" s="569"/>
      <c r="O45" s="71"/>
      <c r="P45" s="95" t="str">
        <f t="shared" si="3"/>
        <v/>
      </c>
      <c r="Q45" s="173"/>
      <c r="R45"/>
      <c r="U45"/>
      <c r="V45"/>
      <c r="W45"/>
      <c r="X45"/>
      <c r="Y45"/>
      <c r="Z45"/>
      <c r="AA45"/>
      <c r="AB45"/>
    </row>
    <row r="46" spans="1:28" ht="18" customHeight="1" x14ac:dyDescent="0.2">
      <c r="C46" s="97" t="s">
        <v>227</v>
      </c>
      <c r="D46" s="445" t="s">
        <v>276</v>
      </c>
      <c r="E46" s="570"/>
      <c r="F46" s="570"/>
      <c r="G46" s="570"/>
      <c r="H46" s="570"/>
      <c r="I46" s="570"/>
      <c r="J46" s="570"/>
      <c r="K46" s="570"/>
      <c r="L46" s="570"/>
      <c r="M46" s="570"/>
      <c r="N46" s="570"/>
      <c r="O46" s="71"/>
      <c r="P46" s="95" t="str">
        <f t="shared" si="3"/>
        <v/>
      </c>
      <c r="Q46" s="173"/>
      <c r="R46"/>
      <c r="U46"/>
      <c r="V46"/>
      <c r="W46"/>
      <c r="X46"/>
      <c r="Y46"/>
      <c r="Z46"/>
      <c r="AA46"/>
      <c r="AB46"/>
    </row>
    <row r="47" spans="1:28" ht="35.25" customHeight="1" x14ac:dyDescent="0.2">
      <c r="A47" s="106">
        <v>1</v>
      </c>
      <c r="C47" s="103" t="s">
        <v>228</v>
      </c>
      <c r="D47" s="445" t="s">
        <v>277</v>
      </c>
      <c r="E47" s="568"/>
      <c r="F47" s="568"/>
      <c r="G47" s="568"/>
      <c r="H47" s="568"/>
      <c r="I47" s="568"/>
      <c r="J47" s="568"/>
      <c r="K47" s="568"/>
      <c r="L47" s="568"/>
      <c r="M47" s="568"/>
      <c r="N47" s="569"/>
      <c r="O47" s="71"/>
      <c r="P47" s="95" t="str">
        <f t="shared" si="3"/>
        <v/>
      </c>
      <c r="R47"/>
      <c r="U47"/>
      <c r="V47"/>
      <c r="W47"/>
      <c r="X47"/>
      <c r="Y47"/>
      <c r="Z47"/>
      <c r="AA47"/>
      <c r="AB47"/>
    </row>
    <row r="48" spans="1:28" ht="57.75" customHeight="1" x14ac:dyDescent="0.2">
      <c r="A48" s="107" t="s">
        <v>69</v>
      </c>
      <c r="C48" s="97" t="s">
        <v>229</v>
      </c>
      <c r="D48" s="565" t="s">
        <v>539</v>
      </c>
      <c r="E48" s="566"/>
      <c r="F48" s="566"/>
      <c r="G48" s="566"/>
      <c r="H48" s="566"/>
      <c r="I48" s="566"/>
      <c r="J48" s="566"/>
      <c r="K48" s="566"/>
      <c r="L48" s="566"/>
      <c r="M48" s="566"/>
      <c r="N48" s="566"/>
      <c r="O48" s="71"/>
      <c r="P48" s="95" t="str">
        <f t="shared" si="3"/>
        <v/>
      </c>
      <c r="Q48" s="171"/>
      <c r="R48"/>
      <c r="U48"/>
      <c r="V48"/>
      <c r="W48"/>
      <c r="X48"/>
      <c r="Y48"/>
      <c r="Z48"/>
      <c r="AA48"/>
      <c r="AB48"/>
    </row>
    <row r="49" spans="1:28" ht="39" customHeight="1" x14ac:dyDescent="0.2">
      <c r="A49" s="106">
        <v>1</v>
      </c>
      <c r="B49" s="93"/>
      <c r="C49" s="97" t="s">
        <v>230</v>
      </c>
      <c r="D49" s="567" t="s">
        <v>540</v>
      </c>
      <c r="E49" s="470"/>
      <c r="F49" s="470"/>
      <c r="G49" s="470"/>
      <c r="H49" s="470"/>
      <c r="I49" s="470"/>
      <c r="J49" s="470"/>
      <c r="K49" s="470"/>
      <c r="L49" s="470"/>
      <c r="M49" s="470"/>
      <c r="N49" s="471"/>
      <c r="O49" s="71"/>
      <c r="P49" s="95" t="str">
        <f t="shared" si="3"/>
        <v/>
      </c>
      <c r="Q49" s="123"/>
      <c r="R49"/>
      <c r="U49"/>
      <c r="V49"/>
      <c r="W49"/>
      <c r="X49"/>
      <c r="Y49"/>
      <c r="Z49"/>
      <c r="AA49"/>
      <c r="AB49"/>
    </row>
    <row r="50" spans="1:28" ht="19.5" customHeight="1" x14ac:dyDescent="0.2">
      <c r="A50" s="107" t="s">
        <v>73</v>
      </c>
      <c r="C50" s="580" t="s">
        <v>278</v>
      </c>
      <c r="D50" s="470"/>
      <c r="E50" s="470"/>
      <c r="F50" s="470"/>
      <c r="G50" s="470"/>
      <c r="H50" s="470"/>
      <c r="I50" s="470"/>
      <c r="J50" s="470"/>
      <c r="K50" s="470"/>
      <c r="L50" s="470"/>
      <c r="M50" s="470"/>
      <c r="N50" s="470"/>
      <c r="O50" s="347"/>
      <c r="P50" s="344"/>
      <c r="Q50" s="99"/>
      <c r="R50"/>
      <c r="U50"/>
      <c r="V50"/>
      <c r="W50"/>
      <c r="X50"/>
      <c r="Y50"/>
      <c r="Z50"/>
      <c r="AA50"/>
      <c r="AB50"/>
    </row>
    <row r="51" spans="1:28" ht="25.5" customHeight="1" x14ac:dyDescent="0.2">
      <c r="A51" s="107" t="s">
        <v>69</v>
      </c>
      <c r="B51" s="93"/>
      <c r="C51" s="581" t="s">
        <v>17</v>
      </c>
      <c r="D51" s="470"/>
      <c r="E51" s="470"/>
      <c r="F51" s="470"/>
      <c r="G51" s="470"/>
      <c r="H51" s="470"/>
      <c r="I51" s="470"/>
      <c r="J51" s="470"/>
      <c r="K51" s="470"/>
      <c r="L51" s="470"/>
      <c r="M51" s="470"/>
      <c r="N51" s="470"/>
      <c r="O51" s="345"/>
      <c r="Q51" s="359"/>
      <c r="R51"/>
      <c r="U51"/>
      <c r="V51"/>
      <c r="W51"/>
      <c r="X51"/>
      <c r="Y51"/>
      <c r="Z51"/>
      <c r="AA51"/>
      <c r="AB51"/>
    </row>
    <row r="52" spans="1:28" ht="21.75" customHeight="1" x14ac:dyDescent="0.25">
      <c r="A52" s="106">
        <v>1</v>
      </c>
      <c r="B52" s="93"/>
      <c r="C52" s="100" t="s">
        <v>264</v>
      </c>
      <c r="D52" s="576" t="s">
        <v>74</v>
      </c>
      <c r="E52" s="577"/>
      <c r="F52" s="577"/>
      <c r="G52" s="577"/>
      <c r="H52" s="577"/>
      <c r="I52" s="577"/>
      <c r="J52" s="577"/>
      <c r="K52" s="577"/>
      <c r="L52" s="577"/>
      <c r="M52" s="577"/>
      <c r="N52" s="578"/>
      <c r="O52" s="101" t="s">
        <v>265</v>
      </c>
      <c r="P52" s="101" t="s">
        <v>266</v>
      </c>
      <c r="Q52" s="173"/>
      <c r="R52"/>
      <c r="U52"/>
      <c r="V52"/>
      <c r="W52"/>
      <c r="X52"/>
      <c r="Y52"/>
      <c r="Z52"/>
      <c r="AA52"/>
      <c r="AB52"/>
    </row>
    <row r="53" spans="1:28" ht="34.5" customHeight="1" x14ac:dyDescent="0.2">
      <c r="A53" s="106">
        <v>1</v>
      </c>
      <c r="C53" s="94" t="s">
        <v>232</v>
      </c>
      <c r="D53" s="601" t="s">
        <v>279</v>
      </c>
      <c r="E53" s="595"/>
      <c r="F53" s="595"/>
      <c r="G53" s="595"/>
      <c r="H53" s="595"/>
      <c r="I53" s="595"/>
      <c r="J53" s="595"/>
      <c r="K53" s="595"/>
      <c r="L53" s="595"/>
      <c r="M53" s="595"/>
      <c r="N53" s="595"/>
      <c r="O53" s="71"/>
      <c r="P53" s="95" t="str">
        <f t="shared" ref="P53:P60" si="4">IF(O53="","",IF(O53="Yes","Pass",IF(O53="No","Fail","N/A")))</f>
        <v/>
      </c>
      <c r="Q53" s="173"/>
      <c r="R53"/>
      <c r="U53"/>
      <c r="V53"/>
      <c r="W53"/>
      <c r="X53"/>
      <c r="Y53"/>
      <c r="Z53"/>
      <c r="AA53"/>
      <c r="AB53"/>
    </row>
    <row r="54" spans="1:28" ht="60.75" customHeight="1" x14ac:dyDescent="0.2">
      <c r="A54" s="106">
        <v>1</v>
      </c>
      <c r="C54" s="94" t="s">
        <v>233</v>
      </c>
      <c r="D54" s="601" t="s">
        <v>457</v>
      </c>
      <c r="E54" s="605"/>
      <c r="F54" s="605"/>
      <c r="G54" s="605"/>
      <c r="H54" s="605"/>
      <c r="I54" s="605"/>
      <c r="J54" s="605"/>
      <c r="K54" s="605"/>
      <c r="L54" s="605"/>
      <c r="M54" s="605"/>
      <c r="N54" s="606"/>
      <c r="O54" s="71"/>
      <c r="P54" s="95" t="str">
        <f t="shared" si="4"/>
        <v/>
      </c>
      <c r="Q54" s="173"/>
      <c r="R54"/>
      <c r="U54"/>
      <c r="V54"/>
      <c r="W54"/>
      <c r="X54"/>
      <c r="Y54"/>
      <c r="Z54"/>
      <c r="AA54"/>
      <c r="AB54"/>
    </row>
    <row r="55" spans="1:28" ht="38.25" customHeight="1" x14ac:dyDescent="0.2">
      <c r="A55" s="106">
        <v>1</v>
      </c>
      <c r="B55" s="107" t="s">
        <v>70</v>
      </c>
      <c r="C55" s="94" t="s">
        <v>458</v>
      </c>
      <c r="D55" s="602" t="s">
        <v>454</v>
      </c>
      <c r="E55" s="603"/>
      <c r="F55" s="603"/>
      <c r="G55" s="603"/>
      <c r="H55" s="603"/>
      <c r="I55" s="603"/>
      <c r="J55" s="603"/>
      <c r="K55" s="603"/>
      <c r="L55" s="603"/>
      <c r="M55" s="603"/>
      <c r="N55" s="604"/>
      <c r="O55" s="71"/>
      <c r="P55" s="95" t="str">
        <f t="shared" si="4"/>
        <v/>
      </c>
      <c r="Q55" s="173"/>
      <c r="R55"/>
      <c r="U55"/>
      <c r="V55"/>
      <c r="W55"/>
      <c r="X55"/>
      <c r="Y55"/>
      <c r="Z55"/>
      <c r="AA55"/>
      <c r="AB55"/>
    </row>
    <row r="56" spans="1:28" ht="68.25" customHeight="1" x14ac:dyDescent="0.2">
      <c r="A56" s="107" t="s">
        <v>73</v>
      </c>
      <c r="C56" s="94" t="s">
        <v>234</v>
      </c>
      <c r="D56" s="594" t="s">
        <v>541</v>
      </c>
      <c r="E56" s="595"/>
      <c r="F56" s="595"/>
      <c r="G56" s="595"/>
      <c r="H56" s="595"/>
      <c r="I56" s="595"/>
      <c r="J56" s="595"/>
      <c r="K56" s="595"/>
      <c r="L56" s="595"/>
      <c r="M56" s="595"/>
      <c r="N56" s="596"/>
      <c r="O56" s="71"/>
      <c r="P56" s="95" t="str">
        <f t="shared" si="4"/>
        <v/>
      </c>
      <c r="Q56" s="173"/>
      <c r="R56"/>
      <c r="U56"/>
      <c r="V56"/>
      <c r="W56"/>
      <c r="X56"/>
      <c r="Y56"/>
      <c r="Z56"/>
      <c r="AA56"/>
      <c r="AB56"/>
    </row>
    <row r="57" spans="1:28" ht="31.5" customHeight="1" x14ac:dyDescent="0.2">
      <c r="B57" s="93"/>
      <c r="C57" s="94" t="s">
        <v>235</v>
      </c>
      <c r="D57" s="602" t="s">
        <v>459</v>
      </c>
      <c r="E57" s="603"/>
      <c r="F57" s="603"/>
      <c r="G57" s="603"/>
      <c r="H57" s="603"/>
      <c r="I57" s="603"/>
      <c r="J57" s="603"/>
      <c r="K57" s="603"/>
      <c r="L57" s="603"/>
      <c r="M57" s="603"/>
      <c r="N57" s="604"/>
      <c r="O57" s="71"/>
      <c r="P57" s="95" t="str">
        <f t="shared" si="4"/>
        <v/>
      </c>
      <c r="Q57" s="173"/>
      <c r="R57"/>
      <c r="U57"/>
      <c r="V57"/>
      <c r="W57"/>
      <c r="X57"/>
      <c r="Y57"/>
      <c r="Z57"/>
      <c r="AA57"/>
      <c r="AB57"/>
    </row>
    <row r="58" spans="1:28" ht="40.5" customHeight="1" x14ac:dyDescent="0.2">
      <c r="C58" s="104" t="s">
        <v>460</v>
      </c>
      <c r="D58" s="597" t="s">
        <v>455</v>
      </c>
      <c r="E58" s="595"/>
      <c r="F58" s="595"/>
      <c r="G58" s="595"/>
      <c r="H58" s="595"/>
      <c r="I58" s="595"/>
      <c r="J58" s="595"/>
      <c r="K58" s="595"/>
      <c r="L58" s="595"/>
      <c r="M58" s="595"/>
      <c r="N58" s="596"/>
      <c r="O58" s="71"/>
      <c r="P58" s="95" t="str">
        <f t="shared" si="4"/>
        <v/>
      </c>
      <c r="Q58" s="173"/>
      <c r="R58"/>
      <c r="U58"/>
      <c r="V58"/>
      <c r="W58"/>
      <c r="X58"/>
      <c r="Y58"/>
      <c r="Z58"/>
      <c r="AA58"/>
      <c r="AB58"/>
    </row>
    <row r="59" spans="1:28" ht="30" customHeight="1" x14ac:dyDescent="0.2">
      <c r="A59" s="107" t="s">
        <v>70</v>
      </c>
      <c r="C59" s="104" t="s">
        <v>236</v>
      </c>
      <c r="D59" s="598" t="s">
        <v>456</v>
      </c>
      <c r="E59" s="599"/>
      <c r="F59" s="599"/>
      <c r="G59" s="599"/>
      <c r="H59" s="599"/>
      <c r="I59" s="599"/>
      <c r="J59" s="599"/>
      <c r="K59" s="599"/>
      <c r="L59" s="599"/>
      <c r="M59" s="599"/>
      <c r="N59" s="600"/>
      <c r="O59" s="71"/>
      <c r="P59" s="95" t="str">
        <f t="shared" si="4"/>
        <v/>
      </c>
      <c r="Q59" s="173"/>
      <c r="R59"/>
      <c r="U59"/>
      <c r="V59"/>
      <c r="W59"/>
      <c r="X59"/>
      <c r="Y59"/>
      <c r="Z59"/>
      <c r="AA59"/>
      <c r="AB59"/>
    </row>
    <row r="60" spans="1:28" ht="30" customHeight="1" x14ac:dyDescent="0.2">
      <c r="A60" s="107" t="s">
        <v>70</v>
      </c>
      <c r="B60" s="93"/>
      <c r="C60" s="104" t="s">
        <v>237</v>
      </c>
      <c r="D60" s="598" t="s">
        <v>280</v>
      </c>
      <c r="E60" s="599"/>
      <c r="F60" s="599"/>
      <c r="G60" s="599"/>
      <c r="H60" s="599"/>
      <c r="I60" s="599"/>
      <c r="J60" s="599"/>
      <c r="K60" s="599"/>
      <c r="L60" s="599"/>
      <c r="M60" s="599"/>
      <c r="N60" s="600"/>
      <c r="O60" s="71"/>
      <c r="P60" s="95" t="str">
        <f t="shared" si="4"/>
        <v/>
      </c>
      <c r="Q60" s="171"/>
      <c r="R60"/>
      <c r="U60"/>
      <c r="V60"/>
      <c r="W60"/>
      <c r="X60"/>
      <c r="Y60"/>
      <c r="Z60"/>
      <c r="AA60"/>
      <c r="AB60"/>
    </row>
    <row r="61" spans="1:28" ht="22.5" customHeight="1" x14ac:dyDescent="0.2">
      <c r="A61" s="107" t="s">
        <v>69</v>
      </c>
      <c r="B61" s="107" t="s">
        <v>69</v>
      </c>
      <c r="C61" s="580" t="s">
        <v>281</v>
      </c>
      <c r="D61" s="470"/>
      <c r="E61" s="470"/>
      <c r="F61" s="470"/>
      <c r="G61" s="470"/>
      <c r="H61" s="470"/>
      <c r="I61" s="470"/>
      <c r="J61" s="470"/>
      <c r="K61" s="470"/>
      <c r="L61" s="470"/>
      <c r="M61" s="470"/>
      <c r="N61" s="470"/>
      <c r="O61" s="347"/>
      <c r="P61" s="345"/>
      <c r="Q61" s="172"/>
      <c r="R61"/>
      <c r="U61"/>
      <c r="V61"/>
      <c r="W61"/>
      <c r="X61"/>
      <c r="Y61"/>
      <c r="Z61"/>
      <c r="AA61"/>
      <c r="AB61"/>
    </row>
    <row r="62" spans="1:28" ht="28.5" customHeight="1" x14ac:dyDescent="0.2">
      <c r="A62" s="107"/>
      <c r="B62" s="147"/>
      <c r="C62" s="581" t="s">
        <v>17</v>
      </c>
      <c r="D62" s="470"/>
      <c r="E62" s="470"/>
      <c r="F62" s="470"/>
      <c r="G62" s="470"/>
      <c r="H62" s="470"/>
      <c r="I62" s="470"/>
      <c r="J62" s="470"/>
      <c r="K62" s="470"/>
      <c r="L62" s="470"/>
      <c r="M62" s="470"/>
      <c r="N62" s="470"/>
      <c r="O62" s="345"/>
      <c r="Q62" s="171"/>
      <c r="R62"/>
      <c r="U62"/>
      <c r="V62"/>
      <c r="W62"/>
      <c r="X62"/>
      <c r="Y62"/>
      <c r="Z62"/>
      <c r="AA62"/>
      <c r="AB62"/>
    </row>
    <row r="63" spans="1:28" ht="30" customHeight="1" x14ac:dyDescent="0.25">
      <c r="A63" s="107" t="s">
        <v>70</v>
      </c>
      <c r="B63" s="93"/>
      <c r="C63" s="100" t="s">
        <v>264</v>
      </c>
      <c r="D63" s="573" t="s">
        <v>75</v>
      </c>
      <c r="E63" s="574"/>
      <c r="F63" s="574"/>
      <c r="G63" s="574"/>
      <c r="H63" s="574"/>
      <c r="I63" s="574"/>
      <c r="J63" s="574"/>
      <c r="K63" s="574"/>
      <c r="L63" s="574"/>
      <c r="M63" s="574"/>
      <c r="N63" s="440"/>
      <c r="O63" s="101" t="s">
        <v>265</v>
      </c>
      <c r="P63" s="101" t="s">
        <v>266</v>
      </c>
      <c r="Q63" s="359"/>
      <c r="R63"/>
      <c r="U63"/>
      <c r="V63"/>
      <c r="W63"/>
      <c r="X63"/>
      <c r="Y63"/>
      <c r="Z63"/>
      <c r="AA63"/>
      <c r="AB63"/>
    </row>
    <row r="64" spans="1:28" ht="30" customHeight="1" x14ac:dyDescent="0.2">
      <c r="A64" s="107" t="s">
        <v>70</v>
      </c>
      <c r="B64" s="93"/>
      <c r="C64" s="94" t="s">
        <v>239</v>
      </c>
      <c r="D64" s="567" t="s">
        <v>461</v>
      </c>
      <c r="E64" s="470"/>
      <c r="F64" s="470"/>
      <c r="G64" s="470"/>
      <c r="H64" s="470"/>
      <c r="I64" s="470"/>
      <c r="J64" s="470"/>
      <c r="K64" s="470"/>
      <c r="L64" s="470"/>
      <c r="M64" s="470"/>
      <c r="N64" s="471"/>
      <c r="O64" s="71"/>
      <c r="P64" s="95" t="str">
        <f t="shared" ref="P64:P69" si="5">IF(O64="","",IF(O64="Yes","Pass",IF(O64="No","Fail","N/A")))</f>
        <v/>
      </c>
      <c r="Q64" s="173"/>
      <c r="R64"/>
      <c r="U64"/>
      <c r="V64"/>
      <c r="W64"/>
      <c r="X64"/>
      <c r="Y64"/>
      <c r="Z64"/>
      <c r="AA64"/>
      <c r="AB64"/>
    </row>
    <row r="65" spans="1:28" ht="33.75" customHeight="1" x14ac:dyDescent="0.2">
      <c r="A65" s="107" t="s">
        <v>76</v>
      </c>
      <c r="B65" s="93"/>
      <c r="C65" s="94" t="s">
        <v>240</v>
      </c>
      <c r="D65" s="567" t="s">
        <v>282</v>
      </c>
      <c r="E65" s="470"/>
      <c r="F65" s="470"/>
      <c r="G65" s="470"/>
      <c r="H65" s="470"/>
      <c r="I65" s="470"/>
      <c r="J65" s="470"/>
      <c r="K65" s="470"/>
      <c r="L65" s="470"/>
      <c r="M65" s="470"/>
      <c r="N65" s="471"/>
      <c r="O65" s="71"/>
      <c r="P65" s="95" t="str">
        <f t="shared" si="5"/>
        <v/>
      </c>
      <c r="Q65" s="173"/>
      <c r="R65"/>
      <c r="U65"/>
      <c r="V65"/>
      <c r="W65"/>
      <c r="X65"/>
      <c r="Y65"/>
      <c r="Z65"/>
      <c r="AA65"/>
      <c r="AB65"/>
    </row>
    <row r="66" spans="1:28" ht="49.5" customHeight="1" x14ac:dyDescent="0.2">
      <c r="A66" s="106">
        <v>1</v>
      </c>
      <c r="B66" s="93"/>
      <c r="C66" s="94" t="s">
        <v>241</v>
      </c>
      <c r="D66" s="567" t="s">
        <v>462</v>
      </c>
      <c r="E66" s="470"/>
      <c r="F66" s="470"/>
      <c r="G66" s="470"/>
      <c r="H66" s="470"/>
      <c r="I66" s="470"/>
      <c r="J66" s="470"/>
      <c r="K66" s="470"/>
      <c r="L66" s="470"/>
      <c r="M66" s="470"/>
      <c r="N66" s="471"/>
      <c r="O66" s="71"/>
      <c r="P66" s="95" t="str">
        <f t="shared" si="5"/>
        <v/>
      </c>
      <c r="Q66" s="173"/>
      <c r="R66"/>
      <c r="U66"/>
      <c r="V66"/>
      <c r="W66"/>
      <c r="X66"/>
      <c r="Y66"/>
      <c r="Z66"/>
      <c r="AA66"/>
      <c r="AB66"/>
    </row>
    <row r="67" spans="1:28" ht="35.25" customHeight="1" x14ac:dyDescent="0.2">
      <c r="A67" s="107" t="s">
        <v>73</v>
      </c>
      <c r="C67" s="148" t="s">
        <v>542</v>
      </c>
      <c r="D67" s="593" t="s">
        <v>464</v>
      </c>
      <c r="E67" s="470"/>
      <c r="F67" s="470"/>
      <c r="G67" s="470"/>
      <c r="H67" s="470"/>
      <c r="I67" s="470"/>
      <c r="J67" s="470"/>
      <c r="K67" s="470"/>
      <c r="L67" s="470"/>
      <c r="M67" s="470"/>
      <c r="N67" s="470"/>
      <c r="O67" s="71"/>
      <c r="P67" s="95" t="str">
        <f t="shared" si="5"/>
        <v/>
      </c>
      <c r="Q67" s="173"/>
      <c r="R67"/>
      <c r="U67"/>
      <c r="V67"/>
      <c r="W67"/>
      <c r="X67"/>
      <c r="Y67"/>
      <c r="Z67"/>
      <c r="AA67"/>
      <c r="AB67"/>
    </row>
    <row r="68" spans="1:28" ht="36" customHeight="1" x14ac:dyDescent="0.2">
      <c r="B68" s="93"/>
      <c r="C68" s="94" t="s">
        <v>242</v>
      </c>
      <c r="D68" s="469" t="s">
        <v>546</v>
      </c>
      <c r="E68" s="470"/>
      <c r="F68" s="470"/>
      <c r="G68" s="470"/>
      <c r="H68" s="470"/>
      <c r="I68" s="470"/>
      <c r="J68" s="470"/>
      <c r="K68" s="470"/>
      <c r="L68" s="470"/>
      <c r="M68" s="470"/>
      <c r="N68" s="471"/>
      <c r="O68" s="71"/>
      <c r="P68" s="95" t="str">
        <f t="shared" si="5"/>
        <v/>
      </c>
      <c r="Q68" s="173"/>
      <c r="R68"/>
      <c r="U68"/>
      <c r="V68"/>
      <c r="W68"/>
      <c r="X68"/>
      <c r="Y68"/>
      <c r="Z68"/>
      <c r="AA68"/>
      <c r="AB68"/>
    </row>
    <row r="69" spans="1:28" ht="52.5" customHeight="1" x14ac:dyDescent="0.2">
      <c r="C69" s="94" t="s">
        <v>243</v>
      </c>
      <c r="D69" s="469" t="s">
        <v>547</v>
      </c>
      <c r="E69" s="470"/>
      <c r="F69" s="470"/>
      <c r="G69" s="470"/>
      <c r="H69" s="470"/>
      <c r="I69" s="470"/>
      <c r="J69" s="470"/>
      <c r="K69" s="470"/>
      <c r="L69" s="470"/>
      <c r="M69" s="470"/>
      <c r="N69" s="471"/>
      <c r="O69" s="71"/>
      <c r="P69" s="95" t="str">
        <f t="shared" si="5"/>
        <v/>
      </c>
      <c r="Q69" s="173"/>
      <c r="R69"/>
      <c r="U69"/>
      <c r="V69"/>
      <c r="W69"/>
      <c r="X69"/>
      <c r="Y69"/>
      <c r="Z69"/>
      <c r="AA69"/>
      <c r="AB69"/>
    </row>
    <row r="70" spans="1:28" ht="21" customHeight="1" x14ac:dyDescent="0.25">
      <c r="A70" s="107" t="s">
        <v>70</v>
      </c>
      <c r="C70" s="608" t="s">
        <v>283</v>
      </c>
      <c r="D70" s="486"/>
      <c r="E70" s="486"/>
      <c r="F70" s="486"/>
      <c r="G70" s="486"/>
      <c r="H70" s="486"/>
      <c r="I70" s="486"/>
      <c r="J70" s="486"/>
      <c r="K70" s="486"/>
      <c r="L70" s="486"/>
      <c r="M70" s="486"/>
      <c r="N70" s="486"/>
      <c r="O70" s="348"/>
      <c r="P70" s="342"/>
      <c r="Q70" s="173"/>
      <c r="R70"/>
      <c r="U70"/>
      <c r="V70"/>
      <c r="W70"/>
      <c r="X70"/>
      <c r="Y70"/>
      <c r="Z70"/>
      <c r="AA70"/>
      <c r="AB70"/>
    </row>
    <row r="71" spans="1:28" ht="29.25" customHeight="1" x14ac:dyDescent="0.25">
      <c r="A71" s="107" t="s">
        <v>285</v>
      </c>
      <c r="B71" s="93"/>
      <c r="C71" s="581" t="s">
        <v>17</v>
      </c>
      <c r="D71" s="470"/>
      <c r="E71" s="470"/>
      <c r="F71" s="470"/>
      <c r="G71" s="470"/>
      <c r="H71" s="470"/>
      <c r="I71" s="470"/>
      <c r="J71" s="470"/>
      <c r="K71" s="470"/>
      <c r="L71" s="470"/>
      <c r="M71" s="470"/>
      <c r="N71" s="470"/>
      <c r="O71" s="345"/>
      <c r="Q71" s="352"/>
      <c r="R71"/>
      <c r="U71"/>
      <c r="V71"/>
      <c r="W71"/>
      <c r="X71"/>
      <c r="Y71"/>
      <c r="Z71"/>
      <c r="AA71"/>
      <c r="AB71"/>
    </row>
    <row r="72" spans="1:28" ht="21.75" customHeight="1" x14ac:dyDescent="0.25">
      <c r="A72" s="107" t="s">
        <v>76</v>
      </c>
      <c r="B72" s="107" t="s">
        <v>286</v>
      </c>
      <c r="C72" s="100" t="s">
        <v>264</v>
      </c>
      <c r="D72" s="573" t="s">
        <v>77</v>
      </c>
      <c r="E72" s="574"/>
      <c r="F72" s="574"/>
      <c r="G72" s="574"/>
      <c r="H72" s="574"/>
      <c r="I72" s="574"/>
      <c r="J72" s="574"/>
      <c r="K72" s="574"/>
      <c r="L72" s="574"/>
      <c r="M72" s="574"/>
      <c r="N72" s="574"/>
      <c r="O72" s="101" t="s">
        <v>265</v>
      </c>
      <c r="P72" s="101" t="s">
        <v>266</v>
      </c>
      <c r="Q72" s="172"/>
      <c r="R72"/>
      <c r="U72"/>
      <c r="V72"/>
      <c r="W72"/>
      <c r="X72"/>
      <c r="Y72"/>
      <c r="Z72"/>
      <c r="AA72"/>
      <c r="AB72"/>
    </row>
    <row r="73" spans="1:28" ht="36" customHeight="1" x14ac:dyDescent="0.2">
      <c r="A73" s="107" t="s">
        <v>287</v>
      </c>
      <c r="B73" s="107" t="s">
        <v>80</v>
      </c>
      <c r="C73" s="102" t="s">
        <v>245</v>
      </c>
      <c r="D73" s="607" t="s">
        <v>284</v>
      </c>
      <c r="E73" s="470"/>
      <c r="F73" s="470"/>
      <c r="G73" s="470"/>
      <c r="H73" s="470"/>
      <c r="I73" s="470"/>
      <c r="J73" s="470"/>
      <c r="K73" s="470"/>
      <c r="L73" s="470"/>
      <c r="M73" s="470"/>
      <c r="N73" s="470"/>
      <c r="O73" s="71"/>
      <c r="P73" s="95" t="str">
        <f>IF(O73="","",IF(O73="Yes","Fail",IF(O73="No","Pass","N/A")))</f>
        <v/>
      </c>
      <c r="R73"/>
      <c r="U73"/>
      <c r="V73"/>
      <c r="W73"/>
      <c r="X73"/>
      <c r="Y73"/>
      <c r="Z73"/>
      <c r="AA73"/>
      <c r="AB73"/>
    </row>
    <row r="74" spans="1:28" ht="189" customHeight="1" x14ac:dyDescent="0.2">
      <c r="A74" s="107" t="s">
        <v>288</v>
      </c>
      <c r="B74" s="93"/>
      <c r="C74" s="102" t="s">
        <v>246</v>
      </c>
      <c r="D74" s="609" t="s">
        <v>552</v>
      </c>
      <c r="E74" s="470"/>
      <c r="F74" s="470"/>
      <c r="G74" s="470"/>
      <c r="H74" s="470"/>
      <c r="I74" s="470"/>
      <c r="J74" s="470"/>
      <c r="K74" s="470"/>
      <c r="L74" s="470"/>
      <c r="M74" s="470"/>
      <c r="N74" s="470"/>
      <c r="O74" s="71"/>
      <c r="P74" s="95" t="str">
        <f>IF(O74="","",IF(O74="Yes","Fail",IF(O74="No","Pass","N/A")))</f>
        <v/>
      </c>
      <c r="Q74" s="359"/>
      <c r="R74"/>
      <c r="U74"/>
      <c r="V74"/>
      <c r="W74"/>
      <c r="X74"/>
      <c r="Y74"/>
      <c r="Z74"/>
      <c r="AA74"/>
      <c r="AB74"/>
    </row>
    <row r="75" spans="1:28" ht="94.5" customHeight="1" x14ac:dyDescent="0.2">
      <c r="A75" s="107" t="s">
        <v>81</v>
      </c>
      <c r="B75" s="93"/>
      <c r="C75" s="102" t="s">
        <v>247</v>
      </c>
      <c r="D75" s="609" t="s">
        <v>551</v>
      </c>
      <c r="E75" s="470"/>
      <c r="F75" s="470"/>
      <c r="G75" s="470"/>
      <c r="H75" s="470"/>
      <c r="I75" s="470"/>
      <c r="J75" s="470"/>
      <c r="K75" s="470"/>
      <c r="L75" s="470"/>
      <c r="M75" s="470"/>
      <c r="N75" s="470"/>
      <c r="O75" s="71"/>
      <c r="P75" s="95" t="str">
        <f t="shared" ref="P75:P82" si="6">IF(O75="","",IF(O75="Yes","Pass",IF(O75="No","Fail","N/A")))</f>
        <v/>
      </c>
      <c r="Q75" s="173"/>
      <c r="R75"/>
      <c r="U75"/>
      <c r="V75"/>
      <c r="W75"/>
      <c r="X75"/>
      <c r="Y75"/>
      <c r="Z75"/>
      <c r="AA75"/>
      <c r="AB75"/>
    </row>
    <row r="76" spans="1:28" ht="126" customHeight="1" x14ac:dyDescent="0.2">
      <c r="A76" s="107" t="s">
        <v>69</v>
      </c>
      <c r="B76" s="93"/>
      <c r="C76" s="102" t="s">
        <v>248</v>
      </c>
      <c r="D76" s="579" t="s">
        <v>550</v>
      </c>
      <c r="E76" s="572"/>
      <c r="F76" s="572"/>
      <c r="G76" s="572"/>
      <c r="H76" s="572"/>
      <c r="I76" s="572"/>
      <c r="J76" s="572"/>
      <c r="K76" s="572"/>
      <c r="L76" s="572"/>
      <c r="M76" s="572"/>
      <c r="N76" s="572"/>
      <c r="O76" s="71"/>
      <c r="P76" s="95" t="str">
        <f t="shared" si="6"/>
        <v/>
      </c>
      <c r="Q76" s="173"/>
      <c r="R76"/>
      <c r="U76"/>
      <c r="V76"/>
      <c r="W76"/>
      <c r="X76"/>
      <c r="Y76"/>
      <c r="Z76"/>
      <c r="AA76"/>
      <c r="AB76"/>
    </row>
    <row r="77" spans="1:28" ht="78" customHeight="1" x14ac:dyDescent="0.2">
      <c r="A77" s="107" t="s">
        <v>288</v>
      </c>
      <c r="B77" s="93"/>
      <c r="C77" s="102" t="s">
        <v>249</v>
      </c>
      <c r="D77" s="579" t="s">
        <v>289</v>
      </c>
      <c r="E77" s="572"/>
      <c r="F77" s="572"/>
      <c r="G77" s="572"/>
      <c r="H77" s="572"/>
      <c r="I77" s="572"/>
      <c r="J77" s="572"/>
      <c r="K77" s="572"/>
      <c r="L77" s="572"/>
      <c r="M77" s="572"/>
      <c r="N77" s="582"/>
      <c r="O77" s="71"/>
      <c r="P77" s="95" t="str">
        <f t="shared" si="6"/>
        <v/>
      </c>
      <c r="Q77" s="173"/>
      <c r="R77"/>
      <c r="U77"/>
      <c r="V77"/>
      <c r="W77"/>
      <c r="X77"/>
      <c r="Y77"/>
      <c r="Z77"/>
      <c r="AA77"/>
      <c r="AB77"/>
    </row>
    <row r="78" spans="1:28" ht="108.75" customHeight="1" x14ac:dyDescent="0.2">
      <c r="A78" s="107" t="s">
        <v>73</v>
      </c>
      <c r="B78" s="93"/>
      <c r="C78" s="102" t="s">
        <v>250</v>
      </c>
      <c r="D78" s="579" t="s">
        <v>543</v>
      </c>
      <c r="E78" s="572"/>
      <c r="F78" s="572"/>
      <c r="G78" s="572"/>
      <c r="H78" s="572"/>
      <c r="I78" s="572"/>
      <c r="J78" s="572"/>
      <c r="K78" s="572"/>
      <c r="L78" s="572"/>
      <c r="M78" s="572"/>
      <c r="N78" s="582"/>
      <c r="O78" s="71"/>
      <c r="P78" s="95" t="str">
        <f t="shared" si="6"/>
        <v/>
      </c>
      <c r="Q78" s="173"/>
      <c r="R78"/>
      <c r="U78"/>
      <c r="V78"/>
      <c r="W78"/>
      <c r="X78"/>
      <c r="Y78"/>
      <c r="Z78"/>
      <c r="AA78"/>
      <c r="AB78"/>
    </row>
    <row r="79" spans="1:28" ht="36" customHeight="1" x14ac:dyDescent="0.2">
      <c r="A79" s="107" t="s">
        <v>81</v>
      </c>
      <c r="B79" s="93"/>
      <c r="C79" s="102" t="s">
        <v>251</v>
      </c>
      <c r="D79" s="567" t="s">
        <v>290</v>
      </c>
      <c r="E79" s="572"/>
      <c r="F79" s="572"/>
      <c r="G79" s="572"/>
      <c r="H79" s="572"/>
      <c r="I79" s="572"/>
      <c r="J79" s="572"/>
      <c r="K79" s="572"/>
      <c r="L79" s="572"/>
      <c r="M79" s="572"/>
      <c r="N79" s="582"/>
      <c r="O79" s="71"/>
      <c r="P79" s="95" t="str">
        <f t="shared" si="6"/>
        <v/>
      </c>
      <c r="Q79" s="173"/>
      <c r="R79"/>
      <c r="U79"/>
      <c r="V79"/>
      <c r="W79"/>
      <c r="X79"/>
      <c r="Y79"/>
      <c r="Z79"/>
      <c r="AA79"/>
      <c r="AB79"/>
    </row>
    <row r="80" spans="1:28" ht="91.5" customHeight="1" x14ac:dyDescent="0.2">
      <c r="A80" s="107" t="s">
        <v>81</v>
      </c>
      <c r="B80" s="93"/>
      <c r="C80" s="102" t="s">
        <v>252</v>
      </c>
      <c r="D80" s="579" t="s">
        <v>549</v>
      </c>
      <c r="E80" s="572"/>
      <c r="F80" s="572"/>
      <c r="G80" s="572"/>
      <c r="H80" s="572"/>
      <c r="I80" s="572"/>
      <c r="J80" s="572"/>
      <c r="K80" s="572"/>
      <c r="L80" s="572"/>
      <c r="M80" s="572"/>
      <c r="N80" s="582"/>
      <c r="O80" s="71"/>
      <c r="P80" s="95" t="str">
        <f t="shared" si="6"/>
        <v/>
      </c>
      <c r="Q80" s="173"/>
      <c r="R80"/>
      <c r="U80"/>
      <c r="V80"/>
      <c r="W80"/>
      <c r="X80"/>
      <c r="Y80"/>
      <c r="Z80"/>
      <c r="AA80"/>
      <c r="AB80"/>
    </row>
    <row r="81" spans="1:18" ht="61.5" customHeight="1" x14ac:dyDescent="0.2">
      <c r="A81" s="107" t="s">
        <v>288</v>
      </c>
      <c r="B81" s="93"/>
      <c r="C81" s="102" t="s">
        <v>253</v>
      </c>
      <c r="D81" s="579" t="s">
        <v>291</v>
      </c>
      <c r="E81" s="572"/>
      <c r="F81" s="572"/>
      <c r="G81" s="572"/>
      <c r="H81" s="572"/>
      <c r="I81" s="572"/>
      <c r="J81" s="572"/>
      <c r="K81" s="572"/>
      <c r="L81" s="572"/>
      <c r="M81" s="572"/>
      <c r="N81" s="582"/>
      <c r="O81" s="71"/>
      <c r="P81" s="95" t="str">
        <f t="shared" si="6"/>
        <v/>
      </c>
      <c r="Q81"/>
      <c r="R81"/>
    </row>
    <row r="82" spans="1:18" ht="78.75" customHeight="1" x14ac:dyDescent="0.2">
      <c r="A82" s="106">
        <v>1</v>
      </c>
      <c r="B82" s="93"/>
      <c r="C82" s="102" t="s">
        <v>254</v>
      </c>
      <c r="D82" s="609" t="s">
        <v>548</v>
      </c>
      <c r="E82" s="470"/>
      <c r="F82" s="470"/>
      <c r="G82" s="470"/>
      <c r="H82" s="470"/>
      <c r="I82" s="470"/>
      <c r="J82" s="470"/>
      <c r="K82" s="470"/>
      <c r="L82" s="470"/>
      <c r="M82" s="470"/>
      <c r="N82" s="471"/>
      <c r="O82" s="71"/>
      <c r="P82" s="95" t="str">
        <f t="shared" si="6"/>
        <v/>
      </c>
      <c r="Q82"/>
      <c r="R82"/>
    </row>
    <row r="83" spans="1:18" ht="20.25" customHeight="1" x14ac:dyDescent="0.2">
      <c r="A83" s="107" t="s">
        <v>73</v>
      </c>
      <c r="C83" s="469" t="s">
        <v>292</v>
      </c>
      <c r="D83" s="470"/>
      <c r="E83" s="470"/>
      <c r="F83" s="470"/>
      <c r="G83" s="470"/>
      <c r="H83" s="470"/>
      <c r="I83" s="470"/>
      <c r="J83" s="470"/>
      <c r="K83" s="470"/>
      <c r="L83" s="470"/>
      <c r="M83" s="470"/>
      <c r="N83" s="470"/>
      <c r="O83" s="346"/>
      <c r="P83" s="95"/>
      <c r="Q83"/>
      <c r="R83"/>
    </row>
    <row r="84" spans="1:18" ht="21" customHeight="1" x14ac:dyDescent="0.2">
      <c r="B84" s="93"/>
      <c r="C84" s="581" t="s">
        <v>17</v>
      </c>
      <c r="D84" s="470"/>
      <c r="E84" s="470"/>
      <c r="F84" s="470"/>
      <c r="G84" s="470"/>
      <c r="H84" s="470"/>
      <c r="I84" s="470"/>
      <c r="J84" s="470"/>
      <c r="K84" s="470"/>
      <c r="L84" s="470"/>
      <c r="M84" s="470"/>
      <c r="N84" s="470"/>
      <c r="O84" s="345"/>
      <c r="P84" s="346"/>
      <c r="Q84"/>
      <c r="R84"/>
    </row>
    <row r="85" spans="1:18" ht="18" x14ac:dyDescent="0.2">
      <c r="P85" s="345"/>
      <c r="Q85" s="173"/>
      <c r="R85" s="173"/>
    </row>
    <row r="86" spans="1:18" ht="18" x14ac:dyDescent="0.2">
      <c r="P86" s="105"/>
      <c r="Q86" s="173"/>
      <c r="R86" s="173"/>
    </row>
    <row r="87" spans="1:18" x14ac:dyDescent="0.2">
      <c r="P87" s="105"/>
      <c r="Q87" s="105"/>
      <c r="R87" s="105"/>
    </row>
    <row r="88" spans="1:18" x14ac:dyDescent="0.2">
      <c r="Q88" s="105"/>
      <c r="R88" s="105"/>
    </row>
    <row r="89" spans="1:18" x14ac:dyDescent="0.2">
      <c r="Q89" s="105"/>
      <c r="R89" s="105"/>
    </row>
    <row r="90" spans="1:18" x14ac:dyDescent="0.2">
      <c r="Q90" s="105"/>
      <c r="R90" s="105"/>
    </row>
  </sheetData>
  <sheetProtection algorithmName="SHA-512" hashValue="aabPqQeG4UqWCZCYSLrZDTWdEAL3kUAgQb1KpvaVef5M6VUwiNrwL6QKvWJN4hzPjgNIw9tav34sHzF9QvuNBA==" saltValue="DHT9L0VapYbwY4dOON2WRQ==" spinCount="100000" sheet="1" objects="1" scenarios="1"/>
  <mergeCells count="83">
    <mergeCell ref="D82:N82"/>
    <mergeCell ref="C83:N83"/>
    <mergeCell ref="C84:N84"/>
    <mergeCell ref="D60:N60"/>
    <mergeCell ref="C61:N61"/>
    <mergeCell ref="C62:N62"/>
    <mergeCell ref="D69:N69"/>
    <mergeCell ref="C70:N70"/>
    <mergeCell ref="D73:N73"/>
    <mergeCell ref="D74:N74"/>
    <mergeCell ref="D64:N64"/>
    <mergeCell ref="D63:N63"/>
    <mergeCell ref="D72:N72"/>
    <mergeCell ref="D65:N65"/>
    <mergeCell ref="D66:N66"/>
    <mergeCell ref="D67:N67"/>
    <mergeCell ref="C28:N28"/>
    <mergeCell ref="D33:N33"/>
    <mergeCell ref="C34:N34"/>
    <mergeCell ref="C35:N35"/>
    <mergeCell ref="D37:N37"/>
    <mergeCell ref="D31:N31"/>
    <mergeCell ref="D32:N32"/>
    <mergeCell ref="D36:N36"/>
    <mergeCell ref="K2:L2"/>
    <mergeCell ref="C1:G1"/>
    <mergeCell ref="C2:G2"/>
    <mergeCell ref="D14:N14"/>
    <mergeCell ref="D8:N8"/>
    <mergeCell ref="D9:N9"/>
    <mergeCell ref="D10:N10"/>
    <mergeCell ref="D11:N11"/>
    <mergeCell ref="D12:N12"/>
    <mergeCell ref="D13:N13"/>
    <mergeCell ref="E5:G5"/>
    <mergeCell ref="D19:N19"/>
    <mergeCell ref="C20:N20"/>
    <mergeCell ref="C21:N21"/>
    <mergeCell ref="D26:N26"/>
    <mergeCell ref="C27:N27"/>
    <mergeCell ref="D52:N52"/>
    <mergeCell ref="D42:N42"/>
    <mergeCell ref="D46:N46"/>
    <mergeCell ref="D47:N47"/>
    <mergeCell ref="D48:N48"/>
    <mergeCell ref="D43:N43"/>
    <mergeCell ref="D44:N44"/>
    <mergeCell ref="D45:N45"/>
    <mergeCell ref="D49:N49"/>
    <mergeCell ref="C50:N50"/>
    <mergeCell ref="C51:N51"/>
    <mergeCell ref="S1:U1"/>
    <mergeCell ref="T4:U4"/>
    <mergeCell ref="D41:N41"/>
    <mergeCell ref="D40:N40"/>
    <mergeCell ref="D39:N39"/>
    <mergeCell ref="D23:N23"/>
    <mergeCell ref="K1:L1"/>
    <mergeCell ref="D30:N30"/>
    <mergeCell ref="D29:N29"/>
    <mergeCell ref="D15:N15"/>
    <mergeCell ref="D16:N16"/>
    <mergeCell ref="D17:N17"/>
    <mergeCell ref="D18:N18"/>
    <mergeCell ref="D22:N22"/>
    <mergeCell ref="D24:N24"/>
    <mergeCell ref="D25:N25"/>
    <mergeCell ref="D56:N56"/>
    <mergeCell ref="D57:N57"/>
    <mergeCell ref="D53:N53"/>
    <mergeCell ref="D58:N58"/>
    <mergeCell ref="D59:N59"/>
    <mergeCell ref="D54:N54"/>
    <mergeCell ref="D55:N55"/>
    <mergeCell ref="D68:N68"/>
    <mergeCell ref="C71:N71"/>
    <mergeCell ref="D81:N81"/>
    <mergeCell ref="D78:N78"/>
    <mergeCell ref="D80:N80"/>
    <mergeCell ref="D75:N75"/>
    <mergeCell ref="D76:N76"/>
    <mergeCell ref="D77:N77"/>
    <mergeCell ref="D79:N79"/>
  </mergeCells>
  <conditionalFormatting sqref="M5">
    <cfRule type="containsText" dxfId="19" priority="4" operator="containsText" text="Fail">
      <formula>NOT(ISERROR(SEARCH("Fail",M5)))</formula>
    </cfRule>
  </conditionalFormatting>
  <conditionalFormatting sqref="P8:R19 P20 P22:R26 P29:R33 Q34:Q46 P36:P37 P39:P49 Q51:Q59 P52:P60 P63:P69 Q63:Q70 P72:P83 Q74:Q80">
    <cfRule type="containsText" dxfId="18" priority="1" operator="containsText" text="Fail">
      <formula>NOT(ISERROR(SEARCH("Fail",P8)))</formula>
    </cfRule>
  </conditionalFormatting>
  <conditionalFormatting sqref="Q85:R86">
    <cfRule type="containsText" dxfId="17" priority="6" operator="containsText" text="Fail">
      <formula>NOT(ISERROR(SEARCH("Fail",Q85)))</formula>
    </cfRule>
  </conditionalFormatting>
  <conditionalFormatting sqref="U1:U3 T4">
    <cfRule type="containsText" dxfId="16" priority="2" operator="containsText" text="Fail">
      <formula>NOT(ISERROR(SEARCH("Fail",T1)))</formula>
    </cfRule>
  </conditionalFormatting>
  <conditionalFormatting sqref="AE9">
    <cfRule type="containsText" dxfId="15" priority="5" operator="containsText" text="Fail">
      <formula>NOT(ISERROR(SEARCH("Fail",AE9)))</formula>
    </cfRule>
  </conditionalFormatting>
  <dataValidations count="4">
    <dataValidation type="whole" operator="greaterThan" allowBlank="1" showInputMessage="1" showErrorMessage="1" sqref="X9:X34" xr:uid="{A2834219-54A2-4F2E-8AC2-43C7812007CD}">
      <formula1>0</formula1>
    </dataValidation>
    <dataValidation type="date" operator="greaterThan" allowBlank="1" showInputMessage="1" showErrorMessage="1" sqref="W9:W34" xr:uid="{39EE44EF-E4D8-4D42-B8E4-80187A3400D8}">
      <formula1>36526</formula1>
    </dataValidation>
    <dataValidation type="list" showErrorMessage="1" errorTitle="Invalid Selection" error="Select either Yes, No, or N/A from the dropdown list. Click &quot;Cancel&quot; below, then update selection." sqref="O73:O82 O23:O26 O53:O60 O39:O49 O64:O69 O37 O30:O33 O9:O19" xr:uid="{F1890B39-D55A-402E-8F1F-FDCF75B85F13}">
      <formula1>"Yes,No,N/A"</formula1>
    </dataValidation>
    <dataValidation type="decimal" operator="greaterThanOrEqual" allowBlank="1" showInputMessage="1" showErrorMessage="1" errorTitle="Input Error" error="Insert the claimed amount with dollars and cents in $0.00 format. Click &quot;Cancel&quot; below and try again." sqref="Y9:Y34" xr:uid="{54C716D2-731E-4044-B77A-EB7B270B69C2}">
      <formula1>0</formula1>
    </dataValidation>
  </dataValidations>
  <pageMargins left="0.7" right="0.7" top="1" bottom="0.75" header="0.3" footer="0.3"/>
  <pageSetup scale="70" fitToHeight="0" orientation="portrait" r:id="rId1"/>
  <headerFooter>
    <oddHeader>&amp;CConfidential QI Report
San Diego County Mental Health Plan
Behavioral Health Services
Fiscal Year 23-24</oddHeader>
    <oddFooter>&amp;LFY 23-24 Medical Record Review Report - Excel - Rev. 7-1-23</oddFooter>
  </headerFooter>
  <colBreaks count="1" manualBreakCount="1">
    <brk id="16" max="84"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A7C356C1-EA80-48BC-8A4D-1B99CDA482EB}">
          <x14:formula1>
            <xm:f>Validations!$E$4:$E$15</xm:f>
          </x14:formula1>
          <xm:sqref>Z9:Z34</xm:sqref>
        </x14:dataValidation>
        <x14:dataValidation type="list" allowBlank="1" showInputMessage="1" showErrorMessage="1" xr:uid="{8895814B-8FEE-47FD-8170-6B5A47860AB1}">
          <x14:formula1>
            <xm:f>Validations!$D$4:$D$7</xm:f>
          </x14:formula1>
          <xm:sqref>AA9:AA34</xm:sqref>
        </x14:dataValidation>
        <x14:dataValidation type="list" allowBlank="1" showInputMessage="1" showErrorMessage="1" xr:uid="{331283BB-31AE-4048-B082-1DE340A95144}">
          <x14:formula1>
            <xm:f>Validations!$C$4:$C$54</xm:f>
          </x14:formula1>
          <xm:sqref>V9:V34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04DC8-95C9-4EA4-BB51-1138629CB2C5}">
  <sheetPr codeName="Sheet20">
    <tabColor theme="3" tint="0.39997558519241921"/>
  </sheetPr>
  <dimension ref="A1:AE90"/>
  <sheetViews>
    <sheetView showGridLines="0" view="pageBreakPreview" zoomScale="92" zoomScaleNormal="80" zoomScaleSheetLayoutView="92" workbookViewId="0">
      <selection activeCell="D12" sqref="D12:N12"/>
    </sheetView>
  </sheetViews>
  <sheetFormatPr defaultColWidth="9.5703125" defaultRowHeight="15" x14ac:dyDescent="0.2"/>
  <cols>
    <col min="1" max="1" width="7.7109375" style="106" customWidth="1"/>
    <col min="2" max="2" width="8.42578125" style="4" customWidth="1"/>
    <col min="3" max="3" width="8.42578125" style="5" customWidth="1"/>
    <col min="4" max="4" width="2.5703125" style="1" customWidth="1"/>
    <col min="5" max="5" width="7.140625" style="1" customWidth="1"/>
    <col min="6" max="6" width="8.5703125" style="1" customWidth="1"/>
    <col min="7" max="7" width="6.42578125" style="1" customWidth="1"/>
    <col min="8" max="8" width="4.7109375" style="1" customWidth="1"/>
    <col min="9" max="9" width="27.28515625" style="1" customWidth="1"/>
    <col min="10" max="10" width="2.5703125" style="1" customWidth="1"/>
    <col min="11" max="11" width="18.140625" style="1" customWidth="1"/>
    <col min="12" max="12" width="3.42578125" style="1" customWidth="1"/>
    <col min="13" max="13" width="12.140625" style="1" customWidth="1"/>
    <col min="14" max="14" width="9.5703125" style="1" customWidth="1"/>
    <col min="15" max="15" width="13.28515625" style="1" customWidth="1"/>
    <col min="16" max="16" width="8.7109375" style="1" hidden="1" customWidth="1"/>
    <col min="17" max="18" width="2.42578125" style="1" customWidth="1"/>
    <col min="19" max="19" width="11.7109375" customWidth="1"/>
    <col min="20" max="20" width="10" customWidth="1"/>
    <col min="21" max="21" width="13.28515625" style="1" customWidth="1"/>
    <col min="22" max="22" width="23.42578125" style="1" customWidth="1"/>
    <col min="23" max="23" width="12.42578125" style="1" customWidth="1"/>
    <col min="24" max="25" width="9.5703125" style="1"/>
    <col min="26" max="26" width="12.140625" style="1" customWidth="1"/>
    <col min="27" max="27" width="14.28515625" style="1" customWidth="1"/>
    <col min="28" max="28" width="24" style="1" customWidth="1"/>
    <col min="29" max="16384" width="9.5703125" style="1"/>
  </cols>
  <sheetData>
    <row r="1" spans="1:31" s="5" customFormat="1" ht="15.75" x14ac:dyDescent="0.25">
      <c r="A1" s="106"/>
      <c r="B1" s="4"/>
      <c r="C1" s="560" t="s">
        <v>338</v>
      </c>
      <c r="D1" s="561"/>
      <c r="E1" s="561"/>
      <c r="F1" s="561"/>
      <c r="G1" s="562"/>
      <c r="H1"/>
      <c r="I1" s="86" t="s">
        <v>38</v>
      </c>
      <c r="J1" s="153"/>
      <c r="K1" s="560" t="s">
        <v>12</v>
      </c>
      <c r="L1" s="562"/>
      <c r="N1"/>
      <c r="O1"/>
      <c r="P1"/>
      <c r="Q1"/>
      <c r="R1"/>
      <c r="S1" s="560" t="s">
        <v>260</v>
      </c>
      <c r="T1" s="561"/>
      <c r="U1" s="562"/>
      <c r="V1"/>
      <c r="W1"/>
      <c r="X1"/>
      <c r="Y1"/>
      <c r="Z1"/>
      <c r="AA1"/>
      <c r="AB1"/>
    </row>
    <row r="2" spans="1:31" s="5" customFormat="1" ht="15" customHeight="1" x14ac:dyDescent="0.2">
      <c r="A2" s="106"/>
      <c r="B2" s="4"/>
      <c r="C2" s="583">
        <f>'Chart Review Info'!D3</f>
        <v>0</v>
      </c>
      <c r="D2" s="584"/>
      <c r="E2" s="584"/>
      <c r="F2" s="584"/>
      <c r="G2" s="585"/>
      <c r="H2"/>
      <c r="I2" s="150">
        <f>'Chart Review Info'!D4</f>
        <v>0</v>
      </c>
      <c r="J2" s="153"/>
      <c r="K2" s="592">
        <f>'Chart Review Info'!F31</f>
        <v>0</v>
      </c>
      <c r="L2" s="591"/>
      <c r="N2"/>
      <c r="O2"/>
      <c r="P2"/>
      <c r="Q2"/>
      <c r="R2"/>
      <c r="S2" s="55">
        <f>'Chart Review Info'!G4</f>
        <v>0</v>
      </c>
      <c r="T2" s="82" t="s">
        <v>261</v>
      </c>
      <c r="U2" s="83">
        <f>'Chart Review Info'!G5</f>
        <v>0</v>
      </c>
      <c r="V2"/>
      <c r="W2"/>
      <c r="X2"/>
      <c r="Y2"/>
      <c r="Z2"/>
      <c r="AA2"/>
      <c r="AB2"/>
    </row>
    <row r="3" spans="1:31" s="5" customFormat="1" x14ac:dyDescent="0.2">
      <c r="A3" s="106"/>
      <c r="B3" s="4"/>
      <c r="C3" s="84"/>
      <c r="H3"/>
      <c r="J3" s="98"/>
      <c r="V3"/>
      <c r="W3"/>
      <c r="X3"/>
      <c r="Y3"/>
      <c r="Z3"/>
      <c r="AA3"/>
      <c r="AB3"/>
    </row>
    <row r="4" spans="1:31" s="5" customFormat="1" ht="15.75" x14ac:dyDescent="0.25">
      <c r="A4" s="106"/>
      <c r="B4" s="4"/>
      <c r="C4" s="85" t="s">
        <v>202</v>
      </c>
      <c r="E4" s="85" t="s">
        <v>86</v>
      </c>
      <c r="F4" s="86"/>
      <c r="G4" s="85"/>
      <c r="H4"/>
      <c r="I4" s="151" t="s">
        <v>350</v>
      </c>
      <c r="J4" s="98"/>
      <c r="K4" s="87" t="s">
        <v>260</v>
      </c>
      <c r="L4" s="88"/>
      <c r="O4" s="86" t="s">
        <v>294</v>
      </c>
      <c r="P4"/>
      <c r="Q4"/>
      <c r="R4"/>
      <c r="S4" s="85" t="s">
        <v>12</v>
      </c>
      <c r="T4" s="563">
        <f>'Chart Review Info'!F31</f>
        <v>0</v>
      </c>
      <c r="U4" s="564"/>
      <c r="V4"/>
      <c r="W4"/>
      <c r="X4"/>
      <c r="Y4"/>
      <c r="Z4"/>
      <c r="AA4"/>
      <c r="AB4"/>
    </row>
    <row r="5" spans="1:31" s="5" customFormat="1" x14ac:dyDescent="0.2">
      <c r="A5" s="106"/>
      <c r="B5" s="4"/>
      <c r="C5" s="54">
        <v>18</v>
      </c>
      <c r="E5" s="589" t="str">
        <f>'Chart Review Info'!C31</f>
        <v>N/A</v>
      </c>
      <c r="F5" s="590"/>
      <c r="G5" s="591"/>
      <c r="H5"/>
      <c r="I5" s="152">
        <f>Consum_18</f>
        <v>0</v>
      </c>
      <c r="J5" s="98"/>
      <c r="K5" s="293">
        <f>'Chart Review Info'!G4</f>
        <v>0</v>
      </c>
      <c r="L5" s="102" t="s">
        <v>261</v>
      </c>
      <c r="M5" s="293">
        <f>'Chart Review Info'!G5</f>
        <v>0</v>
      </c>
      <c r="O5" s="54">
        <f>'Chart Review Info'!G31</f>
        <v>0</v>
      </c>
      <c r="P5"/>
      <c r="Q5"/>
      <c r="R5"/>
      <c r="S5"/>
      <c r="T5"/>
      <c r="V5"/>
      <c r="W5"/>
      <c r="X5"/>
      <c r="Y5" s="6" t="s">
        <v>514</v>
      </c>
      <c r="Z5"/>
      <c r="AA5"/>
      <c r="AB5"/>
    </row>
    <row r="6" spans="1:31" x14ac:dyDescent="0.2">
      <c r="C6" s="154"/>
      <c r="D6" s="158"/>
      <c r="E6" s="155"/>
      <c r="F6" s="155"/>
      <c r="G6" s="155"/>
      <c r="H6" s="155"/>
      <c r="I6" s="155"/>
      <c r="J6" s="155"/>
      <c r="K6" s="155"/>
      <c r="L6" s="155"/>
      <c r="M6" s="155"/>
      <c r="N6" s="155"/>
      <c r="O6" s="155"/>
      <c r="P6" s="155"/>
      <c r="Q6" s="155"/>
      <c r="R6" s="155"/>
      <c r="T6" s="1"/>
      <c r="W6" s="51"/>
      <c r="Y6" s="329">
        <f>SUM(Y9:Y16)</f>
        <v>0</v>
      </c>
      <c r="AA6" s="13"/>
      <c r="AB6" s="13"/>
    </row>
    <row r="7" spans="1:31" ht="23.25" x14ac:dyDescent="0.25">
      <c r="C7" s="89" t="s">
        <v>262</v>
      </c>
      <c r="D7" s="159"/>
      <c r="E7" s="90"/>
      <c r="F7" s="90"/>
      <c r="G7" s="90"/>
      <c r="H7" s="90"/>
      <c r="I7" s="90"/>
      <c r="J7" s="90"/>
      <c r="K7" s="90"/>
      <c r="L7" s="90"/>
      <c r="M7" s="90"/>
      <c r="N7" s="90"/>
      <c r="O7" s="90"/>
      <c r="P7" s="90"/>
      <c r="S7" s="20"/>
      <c r="T7" s="21"/>
      <c r="U7" s="21"/>
      <c r="V7" s="21"/>
      <c r="W7" s="21"/>
      <c r="X7" s="160" t="s">
        <v>263</v>
      </c>
      <c r="Y7" s="160"/>
      <c r="Z7" s="160"/>
      <c r="AA7" s="22"/>
      <c r="AB7" s="23"/>
    </row>
    <row r="8" spans="1:31" ht="27" customHeight="1" x14ac:dyDescent="0.25">
      <c r="C8" s="91" t="s">
        <v>264</v>
      </c>
      <c r="D8" s="588" t="s">
        <v>68</v>
      </c>
      <c r="E8" s="574"/>
      <c r="F8" s="574"/>
      <c r="G8" s="574"/>
      <c r="H8" s="574"/>
      <c r="I8" s="574"/>
      <c r="J8" s="574"/>
      <c r="K8" s="574"/>
      <c r="L8" s="574"/>
      <c r="M8" s="574"/>
      <c r="N8" s="574"/>
      <c r="O8" s="92" t="s">
        <v>265</v>
      </c>
      <c r="P8" s="92" t="s">
        <v>266</v>
      </c>
      <c r="Q8" s="359"/>
      <c r="R8" s="351"/>
      <c r="S8" s="7" t="s">
        <v>449</v>
      </c>
      <c r="T8" s="9" t="s">
        <v>87</v>
      </c>
      <c r="U8" s="7" t="s">
        <v>88</v>
      </c>
      <c r="V8" s="7" t="s">
        <v>89</v>
      </c>
      <c r="W8" s="7" t="s">
        <v>90</v>
      </c>
      <c r="X8" s="7" t="s">
        <v>644</v>
      </c>
      <c r="Y8" s="8" t="s">
        <v>201</v>
      </c>
      <c r="Z8" s="116" t="s">
        <v>91</v>
      </c>
      <c r="AA8" s="117" t="s">
        <v>95</v>
      </c>
      <c r="AB8" s="117" t="s">
        <v>92</v>
      </c>
    </row>
    <row r="9" spans="1:31" ht="60" customHeight="1" x14ac:dyDescent="0.2">
      <c r="A9" s="212" t="s">
        <v>73</v>
      </c>
      <c r="B9" s="93"/>
      <c r="C9" s="94" t="s">
        <v>204</v>
      </c>
      <c r="D9" s="567" t="s">
        <v>658</v>
      </c>
      <c r="E9" s="470"/>
      <c r="F9" s="470"/>
      <c r="G9" s="470"/>
      <c r="H9" s="470"/>
      <c r="I9" s="470"/>
      <c r="J9" s="470"/>
      <c r="K9" s="470"/>
      <c r="L9" s="470"/>
      <c r="M9" s="470"/>
      <c r="N9" s="471"/>
      <c r="O9" s="71"/>
      <c r="P9" s="95" t="str">
        <f t="shared" ref="P9:P12" si="0">IF(O9="","",IF(O9="Yes","Pass",IF(O9="No","Fail","N/A")))</f>
        <v/>
      </c>
      <c r="Q9" s="173"/>
      <c r="R9" s="173"/>
      <c r="S9" s="124"/>
      <c r="T9" s="125"/>
      <c r="U9" s="125"/>
      <c r="V9" s="125"/>
      <c r="W9" s="126"/>
      <c r="X9" s="125"/>
      <c r="Y9" s="127"/>
      <c r="Z9" s="128"/>
      <c r="AA9" s="129"/>
      <c r="AB9" s="130"/>
      <c r="AC9" s="96"/>
      <c r="AD9" s="96"/>
      <c r="AE9" s="96"/>
    </row>
    <row r="10" spans="1:31" ht="87" customHeight="1" x14ac:dyDescent="0.2">
      <c r="A10" s="107">
        <v>1</v>
      </c>
      <c r="B10" s="93"/>
      <c r="C10" s="94" t="s">
        <v>205</v>
      </c>
      <c r="D10" s="567" t="s">
        <v>528</v>
      </c>
      <c r="E10" s="586"/>
      <c r="F10" s="586"/>
      <c r="G10" s="586"/>
      <c r="H10" s="586"/>
      <c r="I10" s="586"/>
      <c r="J10" s="586"/>
      <c r="K10" s="586"/>
      <c r="L10" s="586"/>
      <c r="M10" s="586"/>
      <c r="N10" s="587"/>
      <c r="O10" s="71"/>
      <c r="P10" s="95" t="str">
        <f t="shared" si="0"/>
        <v/>
      </c>
      <c r="Q10" s="173"/>
      <c r="R10" s="173"/>
      <c r="S10" s="124"/>
      <c r="T10" s="124"/>
      <c r="U10" s="124"/>
      <c r="V10" s="125"/>
      <c r="W10" s="131"/>
      <c r="X10" s="124"/>
      <c r="Y10" s="127"/>
      <c r="Z10" s="128"/>
      <c r="AA10" s="129"/>
      <c r="AB10" s="129"/>
    </row>
    <row r="11" spans="1:31" ht="50.25" customHeight="1" x14ac:dyDescent="0.2">
      <c r="A11" s="107" t="s">
        <v>70</v>
      </c>
      <c r="B11" s="93"/>
      <c r="C11" s="94" t="s">
        <v>206</v>
      </c>
      <c r="D11" s="567" t="s">
        <v>529</v>
      </c>
      <c r="E11" s="586"/>
      <c r="F11" s="586"/>
      <c r="G11" s="586"/>
      <c r="H11" s="586"/>
      <c r="I11" s="586"/>
      <c r="J11" s="586"/>
      <c r="K11" s="586"/>
      <c r="L11" s="586"/>
      <c r="M11" s="586"/>
      <c r="N11" s="587"/>
      <c r="O11" s="71"/>
      <c r="P11" s="95" t="str">
        <f t="shared" si="0"/>
        <v/>
      </c>
      <c r="Q11" s="173"/>
      <c r="R11" s="173"/>
      <c r="S11" s="124"/>
      <c r="T11" s="124"/>
      <c r="U11" s="124"/>
      <c r="V11" s="125"/>
      <c r="W11" s="131"/>
      <c r="X11" s="124"/>
      <c r="Y11" s="127"/>
      <c r="Z11" s="128"/>
      <c r="AA11" s="129"/>
      <c r="AB11" s="129"/>
    </row>
    <row r="12" spans="1:31" ht="33.75" customHeight="1" x14ac:dyDescent="0.2">
      <c r="A12" s="106">
        <v>1</v>
      </c>
      <c r="C12" s="94" t="s">
        <v>207</v>
      </c>
      <c r="D12" s="567" t="s">
        <v>659</v>
      </c>
      <c r="E12" s="586"/>
      <c r="F12" s="586"/>
      <c r="G12" s="586"/>
      <c r="H12" s="586"/>
      <c r="I12" s="586"/>
      <c r="J12" s="586"/>
      <c r="K12" s="586"/>
      <c r="L12" s="586"/>
      <c r="M12" s="586"/>
      <c r="N12" s="587"/>
      <c r="O12" s="71"/>
      <c r="P12" s="95" t="str">
        <f t="shared" si="0"/>
        <v/>
      </c>
      <c r="Q12" s="173"/>
      <c r="R12" s="173"/>
      <c r="S12" s="124"/>
      <c r="T12" s="124"/>
      <c r="U12" s="124"/>
      <c r="V12" s="125"/>
      <c r="W12" s="131"/>
      <c r="X12" s="124"/>
      <c r="Y12" s="127"/>
      <c r="Z12" s="128"/>
      <c r="AA12" s="129"/>
      <c r="AB12" s="129"/>
    </row>
    <row r="13" spans="1:31" ht="36" customHeight="1" x14ac:dyDescent="0.2">
      <c r="A13" s="107">
        <v>1</v>
      </c>
      <c r="B13" s="93"/>
      <c r="C13" s="97" t="s">
        <v>208</v>
      </c>
      <c r="D13" s="567" t="s">
        <v>656</v>
      </c>
      <c r="E13" s="470"/>
      <c r="F13" s="470"/>
      <c r="G13" s="470"/>
      <c r="H13" s="470"/>
      <c r="I13" s="470"/>
      <c r="J13" s="470"/>
      <c r="K13" s="470"/>
      <c r="L13" s="470"/>
      <c r="M13" s="470"/>
      <c r="N13" s="471"/>
      <c r="O13" s="71"/>
      <c r="P13" s="95" t="str">
        <f t="shared" ref="P13:P19" si="1">IF(O13="","",IF(O13="Yes","Pass",IF(O13="No","Fail","N/A")))</f>
        <v/>
      </c>
      <c r="Q13" s="173"/>
      <c r="R13" s="173"/>
      <c r="S13" s="124"/>
      <c r="T13" s="124"/>
      <c r="U13" s="124"/>
      <c r="V13" s="125"/>
      <c r="W13" s="131"/>
      <c r="X13" s="124"/>
      <c r="Y13" s="127"/>
      <c r="Z13" s="128"/>
      <c r="AA13" s="129"/>
      <c r="AB13" s="129"/>
    </row>
    <row r="14" spans="1:31" ht="46.5" customHeight="1" x14ac:dyDescent="0.2">
      <c r="A14" s="107" t="s">
        <v>70</v>
      </c>
      <c r="B14" s="93"/>
      <c r="C14" s="97" t="s">
        <v>209</v>
      </c>
      <c r="D14" s="567" t="s">
        <v>530</v>
      </c>
      <c r="E14" s="586"/>
      <c r="F14" s="586"/>
      <c r="G14" s="586"/>
      <c r="H14" s="586"/>
      <c r="I14" s="586"/>
      <c r="J14" s="586"/>
      <c r="K14" s="586"/>
      <c r="L14" s="586"/>
      <c r="M14" s="586"/>
      <c r="N14" s="587"/>
      <c r="O14" s="71"/>
      <c r="P14" s="95" t="str">
        <f t="shared" si="1"/>
        <v/>
      </c>
      <c r="Q14" s="173"/>
      <c r="R14" s="173"/>
      <c r="S14" s="124"/>
      <c r="T14" s="124"/>
      <c r="U14" s="124"/>
      <c r="V14" s="125"/>
      <c r="W14" s="131"/>
      <c r="X14" s="124"/>
      <c r="Y14" s="127"/>
      <c r="Z14" s="128"/>
      <c r="AA14" s="129"/>
      <c r="AB14" s="129"/>
    </row>
    <row r="15" spans="1:31" ht="49.5" customHeight="1" x14ac:dyDescent="0.2">
      <c r="A15" s="107">
        <v>1</v>
      </c>
      <c r="B15" s="93"/>
      <c r="C15" s="94" t="s">
        <v>210</v>
      </c>
      <c r="D15" s="567" t="s">
        <v>531</v>
      </c>
      <c r="E15" s="586"/>
      <c r="F15" s="586"/>
      <c r="G15" s="586"/>
      <c r="H15" s="586"/>
      <c r="I15" s="586"/>
      <c r="J15" s="586"/>
      <c r="K15" s="586"/>
      <c r="L15" s="586"/>
      <c r="M15" s="586"/>
      <c r="N15" s="587"/>
      <c r="O15" s="71"/>
      <c r="P15" s="95" t="str">
        <f t="shared" si="1"/>
        <v/>
      </c>
      <c r="Q15" s="173"/>
      <c r="R15" s="173"/>
      <c r="S15" s="124"/>
      <c r="T15" s="124"/>
      <c r="U15" s="124"/>
      <c r="V15" s="125"/>
      <c r="W15" s="131"/>
      <c r="X15" s="124"/>
      <c r="Y15" s="127"/>
      <c r="Z15" s="128"/>
      <c r="AA15" s="129"/>
      <c r="AB15" s="129"/>
    </row>
    <row r="16" spans="1:31" ht="66.75" customHeight="1" x14ac:dyDescent="0.2">
      <c r="A16" s="106">
        <v>1</v>
      </c>
      <c r="C16" s="97" t="s">
        <v>211</v>
      </c>
      <c r="D16" s="567" t="s">
        <v>532</v>
      </c>
      <c r="E16" s="586"/>
      <c r="F16" s="586"/>
      <c r="G16" s="586"/>
      <c r="H16" s="586"/>
      <c r="I16" s="586"/>
      <c r="J16" s="586"/>
      <c r="K16" s="586"/>
      <c r="L16" s="586"/>
      <c r="M16" s="586"/>
      <c r="N16" s="587"/>
      <c r="O16" s="71"/>
      <c r="P16" s="95" t="str">
        <f t="shared" si="1"/>
        <v/>
      </c>
      <c r="Q16" s="173"/>
      <c r="R16" s="173"/>
      <c r="S16" s="124"/>
      <c r="T16" s="124"/>
      <c r="U16" s="124"/>
      <c r="V16" s="125"/>
      <c r="W16" s="131"/>
      <c r="X16" s="124"/>
      <c r="Y16" s="127"/>
      <c r="Z16" s="128"/>
      <c r="AA16" s="129"/>
      <c r="AB16" s="129"/>
    </row>
    <row r="17" spans="1:28" ht="39" customHeight="1" x14ac:dyDescent="0.2">
      <c r="A17" s="107" t="s">
        <v>70</v>
      </c>
      <c r="B17" s="93"/>
      <c r="C17" s="97" t="s">
        <v>212</v>
      </c>
      <c r="D17" s="567" t="s">
        <v>533</v>
      </c>
      <c r="E17" s="586"/>
      <c r="F17" s="586"/>
      <c r="G17" s="586"/>
      <c r="H17" s="586"/>
      <c r="I17" s="586"/>
      <c r="J17" s="586"/>
      <c r="K17" s="586"/>
      <c r="L17" s="586"/>
      <c r="M17" s="586"/>
      <c r="N17" s="587"/>
      <c r="O17" s="71"/>
      <c r="P17" s="95" t="str">
        <f t="shared" si="1"/>
        <v/>
      </c>
      <c r="Q17" s="173"/>
      <c r="R17" s="173"/>
      <c r="S17" s="124"/>
      <c r="T17" s="124"/>
      <c r="U17" s="124"/>
      <c r="V17" s="125"/>
      <c r="W17" s="131"/>
      <c r="X17" s="124"/>
      <c r="Y17" s="127"/>
      <c r="Z17" s="128"/>
      <c r="AA17" s="129"/>
      <c r="AB17" s="129"/>
    </row>
    <row r="18" spans="1:28" ht="83.25" customHeight="1" x14ac:dyDescent="0.2">
      <c r="A18" s="107" t="s">
        <v>70</v>
      </c>
      <c r="B18" s="93"/>
      <c r="C18" s="94" t="s">
        <v>657</v>
      </c>
      <c r="D18" s="567" t="s">
        <v>534</v>
      </c>
      <c r="E18" s="586"/>
      <c r="F18" s="586"/>
      <c r="G18" s="586"/>
      <c r="H18" s="586"/>
      <c r="I18" s="586"/>
      <c r="J18" s="586"/>
      <c r="K18" s="586"/>
      <c r="L18" s="586"/>
      <c r="M18" s="586"/>
      <c r="N18" s="587"/>
      <c r="O18" s="71"/>
      <c r="P18" s="95" t="str">
        <f t="shared" si="1"/>
        <v/>
      </c>
      <c r="Q18" s="173"/>
      <c r="R18" s="173"/>
      <c r="S18" s="124"/>
      <c r="T18" s="124"/>
      <c r="U18" s="124"/>
      <c r="V18" s="125"/>
      <c r="W18" s="131"/>
      <c r="X18" s="124"/>
      <c r="Y18" s="127"/>
      <c r="Z18" s="128"/>
      <c r="AA18" s="129"/>
      <c r="AB18" s="129"/>
    </row>
    <row r="19" spans="1:28" ht="47.25" customHeight="1" x14ac:dyDescent="0.2">
      <c r="A19" s="107" t="s">
        <v>81</v>
      </c>
      <c r="B19" s="93"/>
      <c r="C19" s="391" t="s">
        <v>213</v>
      </c>
      <c r="D19" s="571" t="s">
        <v>535</v>
      </c>
      <c r="E19" s="572"/>
      <c r="F19" s="572"/>
      <c r="G19" s="572"/>
      <c r="H19" s="572"/>
      <c r="I19" s="572"/>
      <c r="J19" s="572"/>
      <c r="K19" s="572"/>
      <c r="L19" s="572"/>
      <c r="M19" s="572"/>
      <c r="N19" s="572"/>
      <c r="O19" s="71"/>
      <c r="P19" s="95" t="str">
        <f t="shared" si="1"/>
        <v/>
      </c>
      <c r="Q19" s="173"/>
      <c r="R19" s="173"/>
      <c r="S19" s="124"/>
      <c r="T19" s="124"/>
      <c r="U19" s="124"/>
      <c r="V19" s="125"/>
      <c r="W19" s="131"/>
      <c r="X19" s="124"/>
      <c r="Y19" s="127"/>
      <c r="Z19" s="128"/>
      <c r="AA19" s="129"/>
      <c r="AB19" s="129"/>
    </row>
    <row r="20" spans="1:28" ht="22.5" customHeight="1" x14ac:dyDescent="0.2">
      <c r="A20" s="106">
        <v>1</v>
      </c>
      <c r="B20" s="93"/>
      <c r="C20" s="575" t="s">
        <v>267</v>
      </c>
      <c r="D20" s="470"/>
      <c r="E20" s="470"/>
      <c r="F20" s="470"/>
      <c r="G20" s="470"/>
      <c r="H20" s="470"/>
      <c r="I20" s="470"/>
      <c r="J20" s="470"/>
      <c r="K20" s="470"/>
      <c r="L20" s="470"/>
      <c r="M20" s="470"/>
      <c r="N20" s="470"/>
      <c r="O20"/>
      <c r="P20" s="392"/>
      <c r="Q20" s="174"/>
      <c r="R20" s="174"/>
      <c r="S20" s="124"/>
      <c r="T20" s="124"/>
      <c r="U20" s="124"/>
      <c r="V20" s="125"/>
      <c r="W20" s="131"/>
      <c r="X20" s="124"/>
      <c r="Y20" s="127"/>
      <c r="Z20" s="128"/>
      <c r="AA20" s="129"/>
      <c r="AB20" s="129"/>
    </row>
    <row r="21" spans="1:28" ht="30.75" customHeight="1" x14ac:dyDescent="0.2">
      <c r="A21" s="107" t="s">
        <v>73</v>
      </c>
      <c r="C21" s="581" t="s">
        <v>17</v>
      </c>
      <c r="D21" s="470"/>
      <c r="E21" s="470"/>
      <c r="F21" s="470"/>
      <c r="G21" s="470"/>
      <c r="H21" s="470"/>
      <c r="I21" s="470"/>
      <c r="J21" s="470"/>
      <c r="K21" s="470"/>
      <c r="L21" s="470"/>
      <c r="M21" s="470"/>
      <c r="N21" s="471"/>
      <c r="O21" s="345"/>
      <c r="P21" s="343"/>
      <c r="Q21" s="172"/>
      <c r="R21" s="172"/>
      <c r="S21" s="124"/>
      <c r="T21" s="124"/>
      <c r="U21" s="124"/>
      <c r="V21" s="125"/>
      <c r="W21" s="131"/>
      <c r="X21" s="124"/>
      <c r="Y21" s="132"/>
      <c r="Z21" s="128"/>
      <c r="AA21" s="129"/>
      <c r="AB21" s="129"/>
    </row>
    <row r="22" spans="1:28" ht="18" customHeight="1" x14ac:dyDescent="0.25">
      <c r="C22" s="100" t="s">
        <v>264</v>
      </c>
      <c r="D22" s="573" t="s">
        <v>71</v>
      </c>
      <c r="E22" s="574"/>
      <c r="F22" s="574"/>
      <c r="G22" s="574"/>
      <c r="H22" s="574"/>
      <c r="I22" s="574"/>
      <c r="J22" s="574"/>
      <c r="K22" s="574"/>
      <c r="L22" s="574"/>
      <c r="M22" s="574"/>
      <c r="N22" s="440"/>
      <c r="O22" s="101" t="s">
        <v>265</v>
      </c>
      <c r="P22" s="101" t="s">
        <v>266</v>
      </c>
      <c r="Q22" s="359"/>
      <c r="R22" s="175"/>
      <c r="S22" s="124"/>
      <c r="T22" s="124"/>
      <c r="U22" s="124"/>
      <c r="V22" s="125"/>
      <c r="W22" s="131"/>
      <c r="X22" s="124"/>
      <c r="Y22" s="127"/>
      <c r="Z22" s="128"/>
      <c r="AA22" s="129"/>
      <c r="AB22" s="129"/>
    </row>
    <row r="23" spans="1:28" ht="18" customHeight="1" x14ac:dyDescent="0.2">
      <c r="A23" s="106">
        <v>1</v>
      </c>
      <c r="C23" s="102" t="s">
        <v>215</v>
      </c>
      <c r="D23" s="567" t="s">
        <v>268</v>
      </c>
      <c r="E23" s="470"/>
      <c r="F23" s="470"/>
      <c r="G23" s="470"/>
      <c r="H23" s="470"/>
      <c r="I23" s="470"/>
      <c r="J23" s="470"/>
      <c r="K23" s="470"/>
      <c r="L23" s="470"/>
      <c r="M23" s="470"/>
      <c r="N23" s="471"/>
      <c r="O23" s="71"/>
      <c r="P23" s="95" t="str">
        <f>IF(O23="","",IF(O23="Yes","Pass",IF(O23="No","Fail","N/A")))</f>
        <v/>
      </c>
      <c r="Q23" s="173"/>
      <c r="R23" s="173"/>
      <c r="S23" s="124"/>
      <c r="T23" s="124"/>
      <c r="U23" s="124"/>
      <c r="V23" s="125"/>
      <c r="W23" s="131"/>
      <c r="X23" s="124"/>
      <c r="Y23" s="127"/>
      <c r="Z23" s="128"/>
      <c r="AA23" s="129"/>
      <c r="AB23" s="129"/>
    </row>
    <row r="24" spans="1:28" ht="45" customHeight="1" x14ac:dyDescent="0.2">
      <c r="A24" s="107" t="s">
        <v>69</v>
      </c>
      <c r="C24" s="97" t="s">
        <v>216</v>
      </c>
      <c r="D24" s="567" t="s">
        <v>269</v>
      </c>
      <c r="E24" s="470"/>
      <c r="F24" s="470"/>
      <c r="G24" s="470"/>
      <c r="H24" s="470"/>
      <c r="I24" s="470"/>
      <c r="J24" s="470"/>
      <c r="K24" s="470"/>
      <c r="L24" s="470"/>
      <c r="M24" s="470"/>
      <c r="N24" s="471"/>
      <c r="O24" s="71"/>
      <c r="P24" s="95" t="str">
        <f>IF(O24="","",IF(O24="Yes","Pass",IF(O24="No","Fail","N/A")))</f>
        <v/>
      </c>
      <c r="Q24" s="173"/>
      <c r="R24" s="173"/>
      <c r="S24" s="124"/>
      <c r="T24" s="124"/>
      <c r="U24" s="124"/>
      <c r="V24" s="125"/>
      <c r="W24" s="131"/>
      <c r="X24" s="124"/>
      <c r="Y24" s="127"/>
      <c r="Z24" s="128"/>
      <c r="AA24" s="129"/>
      <c r="AB24" s="129"/>
    </row>
    <row r="25" spans="1:28" ht="45" customHeight="1" x14ac:dyDescent="0.2">
      <c r="A25" s="107" t="s">
        <v>69</v>
      </c>
      <c r="B25" s="93"/>
      <c r="C25" s="97" t="s">
        <v>217</v>
      </c>
      <c r="D25" s="567" t="s">
        <v>270</v>
      </c>
      <c r="E25" s="470"/>
      <c r="F25" s="470"/>
      <c r="G25" s="470"/>
      <c r="H25" s="470"/>
      <c r="I25" s="470"/>
      <c r="J25" s="470"/>
      <c r="K25" s="470"/>
      <c r="L25" s="470"/>
      <c r="M25" s="470"/>
      <c r="N25" s="471"/>
      <c r="O25" s="71"/>
      <c r="P25" s="95" t="str">
        <f>IF(O25="","",IF(O25="Yes","Pass",IF(O25="No","Fail","N/A")))</f>
        <v/>
      </c>
      <c r="Q25" s="173"/>
      <c r="R25" s="173"/>
      <c r="S25" s="124"/>
      <c r="T25" s="124"/>
      <c r="U25" s="124"/>
      <c r="V25" s="125"/>
      <c r="W25" s="131"/>
      <c r="X25" s="124"/>
      <c r="Y25" s="127"/>
      <c r="Z25" s="128"/>
      <c r="AA25" s="129"/>
      <c r="AB25" s="129"/>
    </row>
    <row r="26" spans="1:28" ht="51.75" customHeight="1" x14ac:dyDescent="0.2">
      <c r="A26" s="107" t="s">
        <v>69</v>
      </c>
      <c r="B26" s="93"/>
      <c r="C26" s="97" t="s">
        <v>218</v>
      </c>
      <c r="D26" s="567" t="s">
        <v>271</v>
      </c>
      <c r="E26" s="470"/>
      <c r="F26" s="470"/>
      <c r="G26" s="470"/>
      <c r="H26" s="470"/>
      <c r="I26" s="470"/>
      <c r="J26" s="470"/>
      <c r="K26" s="470"/>
      <c r="L26" s="470"/>
      <c r="M26" s="470"/>
      <c r="N26" s="470"/>
      <c r="O26" s="71"/>
      <c r="P26" s="95" t="str">
        <f>IF(O26="","",IF(O26="Yes","Pass",IF(O26="No","Fail","N/A")))</f>
        <v/>
      </c>
      <c r="Q26" s="173"/>
      <c r="R26" s="173"/>
      <c r="S26" s="124"/>
      <c r="T26" s="124"/>
      <c r="U26" s="124"/>
      <c r="V26" s="125"/>
      <c r="W26" s="131"/>
      <c r="X26" s="124"/>
      <c r="Y26" s="127"/>
      <c r="Z26" s="128"/>
      <c r="AA26" s="129"/>
      <c r="AB26" s="129"/>
    </row>
    <row r="27" spans="1:28" ht="22.5" customHeight="1" x14ac:dyDescent="0.2">
      <c r="A27" s="106">
        <v>1</v>
      </c>
      <c r="B27" s="93"/>
      <c r="C27" s="580" t="s">
        <v>272</v>
      </c>
      <c r="D27" s="470"/>
      <c r="E27" s="470"/>
      <c r="F27" s="470"/>
      <c r="G27" s="470"/>
      <c r="H27" s="470"/>
      <c r="I27" s="470"/>
      <c r="J27" s="470"/>
      <c r="K27" s="470"/>
      <c r="L27" s="470"/>
      <c r="M27" s="470"/>
      <c r="N27" s="470"/>
      <c r="O27" s="341"/>
      <c r="Q27" s="123"/>
      <c r="R27" s="123"/>
      <c r="S27" s="124"/>
      <c r="T27" s="124"/>
      <c r="U27" s="124"/>
      <c r="V27" s="125"/>
      <c r="W27" s="131"/>
      <c r="X27" s="124"/>
      <c r="Y27" s="127"/>
      <c r="Z27" s="128"/>
      <c r="AA27" s="129"/>
      <c r="AB27" s="129"/>
    </row>
    <row r="28" spans="1:28" ht="29.25" customHeight="1" x14ac:dyDescent="0.2">
      <c r="A28" s="107" t="s">
        <v>73</v>
      </c>
      <c r="C28" s="581" t="s">
        <v>17</v>
      </c>
      <c r="D28" s="470"/>
      <c r="E28" s="470"/>
      <c r="F28" s="470"/>
      <c r="G28" s="470"/>
      <c r="H28" s="470"/>
      <c r="I28" s="470"/>
      <c r="J28" s="470"/>
      <c r="K28" s="470"/>
      <c r="L28" s="470"/>
      <c r="M28" s="470"/>
      <c r="N28" s="470"/>
      <c r="O28" s="345"/>
      <c r="P28" s="340"/>
      <c r="Q28" s="123"/>
      <c r="R28" s="123"/>
      <c r="S28" s="124"/>
      <c r="T28" s="124"/>
      <c r="U28" s="124"/>
      <c r="V28" s="125"/>
      <c r="W28" s="131"/>
      <c r="X28" s="133"/>
      <c r="Y28" s="132"/>
      <c r="Z28" s="128"/>
      <c r="AA28" s="129"/>
      <c r="AB28" s="129"/>
    </row>
    <row r="29" spans="1:28" ht="24" customHeight="1" x14ac:dyDescent="0.25">
      <c r="C29" s="100" t="s">
        <v>264</v>
      </c>
      <c r="D29" s="573" t="s">
        <v>465</v>
      </c>
      <c r="E29" s="574"/>
      <c r="F29" s="574"/>
      <c r="G29" s="574"/>
      <c r="H29" s="574"/>
      <c r="I29" s="574"/>
      <c r="J29" s="574"/>
      <c r="K29" s="574"/>
      <c r="L29" s="574"/>
      <c r="M29" s="574"/>
      <c r="N29" s="574"/>
      <c r="O29" s="101" t="s">
        <v>265</v>
      </c>
      <c r="P29" s="101" t="s">
        <v>266</v>
      </c>
      <c r="Q29" s="359"/>
      <c r="R29" s="175"/>
      <c r="S29" s="124"/>
      <c r="T29" s="124"/>
      <c r="U29" s="124"/>
      <c r="V29" s="125"/>
      <c r="W29" s="131"/>
      <c r="X29" s="133"/>
      <c r="Y29" s="132"/>
      <c r="Z29" s="128"/>
      <c r="AA29" s="129"/>
      <c r="AB29" s="129"/>
    </row>
    <row r="30" spans="1:28" ht="66" customHeight="1" x14ac:dyDescent="0.2">
      <c r="A30" s="107" t="s">
        <v>69</v>
      </c>
      <c r="C30" s="102" t="s">
        <v>466</v>
      </c>
      <c r="D30" s="567" t="s">
        <v>467</v>
      </c>
      <c r="E30" s="572"/>
      <c r="F30" s="572"/>
      <c r="G30" s="572"/>
      <c r="H30" s="572"/>
      <c r="I30" s="572"/>
      <c r="J30" s="572"/>
      <c r="K30" s="572"/>
      <c r="L30" s="572"/>
      <c r="M30" s="572"/>
      <c r="N30" s="572"/>
      <c r="O30" s="71"/>
      <c r="P30" s="95" t="str">
        <f t="shared" ref="P30:P31" si="2">IF(O30="","",IF(O30="Yes","Pass",IF(O30="No","Fail","N/A")))</f>
        <v/>
      </c>
      <c r="Q30" s="173"/>
      <c r="R30" s="173"/>
      <c r="S30" s="124"/>
      <c r="T30" s="124"/>
      <c r="U30" s="124"/>
      <c r="V30" s="125"/>
      <c r="W30" s="131"/>
      <c r="X30" s="133"/>
      <c r="Y30" s="132"/>
      <c r="Z30" s="128"/>
      <c r="AA30" s="129"/>
      <c r="AB30" s="129"/>
    </row>
    <row r="31" spans="1:28" ht="33.75" customHeight="1" x14ac:dyDescent="0.2">
      <c r="A31" s="107" t="s">
        <v>73</v>
      </c>
      <c r="B31" s="93"/>
      <c r="C31" s="102" t="s">
        <v>471</v>
      </c>
      <c r="D31" s="579" t="s">
        <v>468</v>
      </c>
      <c r="E31" s="572"/>
      <c r="F31" s="572"/>
      <c r="G31" s="572"/>
      <c r="H31" s="572"/>
      <c r="I31" s="572"/>
      <c r="J31" s="572"/>
      <c r="K31" s="572"/>
      <c r="L31" s="572"/>
      <c r="M31" s="572"/>
      <c r="N31" s="572"/>
      <c r="O31" s="71"/>
      <c r="P31" s="95" t="str">
        <f t="shared" si="2"/>
        <v/>
      </c>
      <c r="Q31" s="173"/>
      <c r="R31" s="173"/>
      <c r="S31" s="124"/>
      <c r="T31" s="124"/>
      <c r="U31" s="124"/>
      <c r="V31" s="125"/>
      <c r="W31" s="131"/>
      <c r="X31" s="133"/>
      <c r="Y31" s="132"/>
      <c r="Z31" s="128"/>
      <c r="AA31" s="129"/>
      <c r="AB31" s="129"/>
    </row>
    <row r="32" spans="1:28" ht="45" customHeight="1" x14ac:dyDescent="0.2">
      <c r="A32" s="107" t="s">
        <v>69</v>
      </c>
      <c r="B32" s="93"/>
      <c r="C32" s="102" t="s">
        <v>472</v>
      </c>
      <c r="D32" s="579" t="s">
        <v>469</v>
      </c>
      <c r="E32" s="572"/>
      <c r="F32" s="572"/>
      <c r="G32" s="572"/>
      <c r="H32" s="572"/>
      <c r="I32" s="572"/>
      <c r="J32" s="572"/>
      <c r="K32" s="572"/>
      <c r="L32" s="572"/>
      <c r="M32" s="572"/>
      <c r="N32" s="572"/>
      <c r="O32" s="71"/>
      <c r="P32" s="95" t="str">
        <f>IF(O32="","",IF(O32="Yes","Pass",IF(O32="No","Fail","N/A")))</f>
        <v/>
      </c>
      <c r="Q32" s="173"/>
      <c r="R32" s="173"/>
      <c r="S32" s="124"/>
      <c r="T32" s="124"/>
      <c r="U32" s="124"/>
      <c r="V32" s="125"/>
      <c r="W32" s="131"/>
      <c r="X32" s="133"/>
      <c r="Y32" s="132"/>
      <c r="Z32" s="128"/>
      <c r="AA32" s="129"/>
      <c r="AB32" s="129"/>
    </row>
    <row r="33" spans="1:28" ht="30" customHeight="1" x14ac:dyDescent="0.2">
      <c r="A33" s="107" t="s">
        <v>70</v>
      </c>
      <c r="B33" s="93"/>
      <c r="C33" s="102" t="s">
        <v>473</v>
      </c>
      <c r="D33" s="579" t="s">
        <v>470</v>
      </c>
      <c r="E33" s="572"/>
      <c r="F33" s="572"/>
      <c r="G33" s="572"/>
      <c r="H33" s="572"/>
      <c r="I33" s="572"/>
      <c r="J33" s="572"/>
      <c r="K33" s="572"/>
      <c r="L33" s="572"/>
      <c r="M33" s="572"/>
      <c r="N33" s="572"/>
      <c r="O33" s="71"/>
      <c r="P33" s="95" t="str">
        <f>IF(O33="","",IF(O33="Yes","Pass",IF(O33="No","Fail","N/A")))</f>
        <v/>
      </c>
      <c r="Q33" s="173"/>
      <c r="R33" s="173"/>
      <c r="S33" s="124"/>
      <c r="T33" s="124"/>
      <c r="U33" s="124"/>
      <c r="V33" s="125"/>
      <c r="W33" s="131"/>
      <c r="X33" s="133"/>
      <c r="Y33" s="132"/>
      <c r="Z33" s="128"/>
      <c r="AA33" s="129"/>
      <c r="AB33" s="129"/>
    </row>
    <row r="34" spans="1:28" ht="24" customHeight="1" x14ac:dyDescent="0.2">
      <c r="A34" s="107" t="s">
        <v>69</v>
      </c>
      <c r="B34" s="93"/>
      <c r="C34" s="580" t="s">
        <v>545</v>
      </c>
      <c r="D34" s="470"/>
      <c r="E34" s="470"/>
      <c r="F34" s="470"/>
      <c r="G34" s="470"/>
      <c r="H34" s="470"/>
      <c r="I34" s="470"/>
      <c r="J34" s="470"/>
      <c r="K34" s="470"/>
      <c r="L34" s="470"/>
      <c r="M34" s="470"/>
      <c r="N34" s="470"/>
      <c r="O34" s="341"/>
      <c r="Q34" s="359"/>
      <c r="S34" s="124"/>
      <c r="T34" s="124"/>
      <c r="U34" s="124"/>
      <c r="V34" s="125"/>
      <c r="W34" s="131"/>
      <c r="X34" s="133"/>
      <c r="Y34" s="132"/>
      <c r="Z34" s="128"/>
      <c r="AA34" s="129"/>
      <c r="AB34" s="129"/>
    </row>
    <row r="35" spans="1:28" ht="27.75" customHeight="1" x14ac:dyDescent="0.2">
      <c r="A35" s="107" t="s">
        <v>69</v>
      </c>
      <c r="B35" s="93"/>
      <c r="C35" s="581" t="s">
        <v>17</v>
      </c>
      <c r="D35" s="470"/>
      <c r="E35" s="470"/>
      <c r="F35" s="470"/>
      <c r="G35" s="470"/>
      <c r="H35" s="470"/>
      <c r="I35" s="470"/>
      <c r="J35" s="470"/>
      <c r="K35" s="470"/>
      <c r="L35" s="470"/>
      <c r="M35" s="470"/>
      <c r="N35" s="470"/>
      <c r="O35" s="345"/>
      <c r="Q35" s="173"/>
      <c r="R35"/>
      <c r="U35"/>
      <c r="V35"/>
      <c r="W35"/>
      <c r="X35"/>
      <c r="Y35"/>
      <c r="Z35"/>
      <c r="AA35"/>
      <c r="AB35"/>
    </row>
    <row r="36" spans="1:28" ht="24.75" customHeight="1" x14ac:dyDescent="0.25">
      <c r="A36" s="107" t="s">
        <v>70</v>
      </c>
      <c r="B36" s="93"/>
      <c r="C36" s="100" t="s">
        <v>264</v>
      </c>
      <c r="D36" s="573" t="s">
        <v>72</v>
      </c>
      <c r="E36" s="574"/>
      <c r="F36" s="574"/>
      <c r="G36" s="574"/>
      <c r="H36" s="574"/>
      <c r="I36" s="574"/>
      <c r="J36" s="574"/>
      <c r="K36" s="574"/>
      <c r="L36" s="574"/>
      <c r="M36" s="574"/>
      <c r="N36" s="440"/>
      <c r="O36" s="101" t="s">
        <v>265</v>
      </c>
      <c r="P36" s="101" t="s">
        <v>266</v>
      </c>
      <c r="Q36" s="173"/>
      <c r="R36"/>
      <c r="U36"/>
      <c r="V36"/>
      <c r="W36"/>
      <c r="X36"/>
      <c r="Y36"/>
      <c r="Z36"/>
      <c r="AA36"/>
      <c r="AB36"/>
    </row>
    <row r="37" spans="1:28" ht="31.5" customHeight="1" x14ac:dyDescent="0.2">
      <c r="A37" s="107" t="s">
        <v>73</v>
      </c>
      <c r="B37" s="93"/>
      <c r="C37" s="103" t="s">
        <v>220</v>
      </c>
      <c r="D37" s="445" t="s">
        <v>544</v>
      </c>
      <c r="E37" s="568"/>
      <c r="F37" s="568"/>
      <c r="G37" s="568"/>
      <c r="H37" s="568"/>
      <c r="I37" s="568"/>
      <c r="J37" s="568"/>
      <c r="K37" s="568"/>
      <c r="L37" s="568"/>
      <c r="M37" s="568"/>
      <c r="N37" s="569"/>
      <c r="O37" s="71"/>
      <c r="P37" s="95" t="str">
        <f>IF(O37="","",IF(O37="Yes","Pass",IF(O37="No","Fail","N/A")))</f>
        <v/>
      </c>
      <c r="Q37" s="173"/>
      <c r="R37"/>
      <c r="U37"/>
      <c r="V37"/>
      <c r="W37"/>
      <c r="X37"/>
      <c r="Y37"/>
      <c r="Z37"/>
      <c r="AA37"/>
      <c r="AB37"/>
    </row>
    <row r="38" spans="1:28" ht="30" customHeight="1" x14ac:dyDescent="0.2">
      <c r="A38" s="107" t="s">
        <v>70</v>
      </c>
      <c r="B38" s="93"/>
      <c r="C38" s="185"/>
      <c r="D38" s="296" t="s">
        <v>351</v>
      </c>
      <c r="E38" s="297"/>
      <c r="F38" s="298"/>
      <c r="G38" s="299"/>
      <c r="I38" s="300" t="s">
        <v>352</v>
      </c>
      <c r="J38" s="299"/>
      <c r="K38" s="301" t="s">
        <v>353</v>
      </c>
      <c r="L38" s="191"/>
      <c r="M38" s="302"/>
      <c r="N38" s="303" t="e">
        <f>J38/G38</f>
        <v>#DIV/0!</v>
      </c>
      <c r="Q38" s="173"/>
      <c r="R38"/>
      <c r="U38"/>
      <c r="V38"/>
      <c r="W38"/>
      <c r="X38"/>
      <c r="Y38"/>
      <c r="Z38"/>
      <c r="AA38"/>
      <c r="AB38"/>
    </row>
    <row r="39" spans="1:28" ht="38.25" customHeight="1" x14ac:dyDescent="0.2">
      <c r="A39" s="107" t="s">
        <v>73</v>
      </c>
      <c r="B39" s="93"/>
      <c r="C39" s="97" t="s">
        <v>133</v>
      </c>
      <c r="D39" s="579" t="s">
        <v>645</v>
      </c>
      <c r="E39" s="572"/>
      <c r="F39" s="572"/>
      <c r="G39" s="572"/>
      <c r="H39" s="572"/>
      <c r="I39" s="572"/>
      <c r="J39" s="572"/>
      <c r="K39" s="572"/>
      <c r="L39" s="572"/>
      <c r="M39" s="572"/>
      <c r="N39" s="572"/>
      <c r="O39" s="71"/>
      <c r="P39" s="95" t="str">
        <f t="shared" ref="P39:P49" si="3">IF(O39="","",IF(O39="Yes","Pass",IF(O39="No","Fail","N/A")))</f>
        <v/>
      </c>
      <c r="Q39" s="173"/>
      <c r="R39"/>
      <c r="U39"/>
      <c r="V39"/>
      <c r="W39"/>
      <c r="X39"/>
      <c r="Y39"/>
      <c r="Z39"/>
      <c r="AA39"/>
      <c r="AB39"/>
    </row>
    <row r="40" spans="1:28" ht="30" customHeight="1" x14ac:dyDescent="0.2">
      <c r="A40" s="107" t="s">
        <v>70</v>
      </c>
      <c r="B40" s="93"/>
      <c r="C40" s="97" t="s">
        <v>221</v>
      </c>
      <c r="D40" s="579" t="s">
        <v>536</v>
      </c>
      <c r="E40" s="470"/>
      <c r="F40" s="470"/>
      <c r="G40" s="470"/>
      <c r="H40" s="470"/>
      <c r="I40" s="470"/>
      <c r="J40" s="470"/>
      <c r="K40" s="470"/>
      <c r="L40" s="470"/>
      <c r="M40" s="470"/>
      <c r="N40" s="470"/>
      <c r="O40" s="71"/>
      <c r="P40" s="95" t="str">
        <f t="shared" si="3"/>
        <v/>
      </c>
      <c r="Q40" s="173"/>
      <c r="R40"/>
      <c r="U40"/>
      <c r="V40"/>
      <c r="W40"/>
      <c r="X40"/>
      <c r="Y40"/>
      <c r="Z40"/>
      <c r="AA40"/>
      <c r="AB40"/>
    </row>
    <row r="41" spans="1:28" ht="41.25" customHeight="1" x14ac:dyDescent="0.2">
      <c r="A41" s="107">
        <v>1</v>
      </c>
      <c r="B41" s="93"/>
      <c r="C41" s="103" t="s">
        <v>222</v>
      </c>
      <c r="D41" s="445" t="s">
        <v>537</v>
      </c>
      <c r="E41" s="568"/>
      <c r="F41" s="568"/>
      <c r="G41" s="568"/>
      <c r="H41" s="568"/>
      <c r="I41" s="568"/>
      <c r="J41" s="568"/>
      <c r="K41" s="568"/>
      <c r="L41" s="568"/>
      <c r="M41" s="568"/>
      <c r="N41" s="569"/>
      <c r="O41" s="71"/>
      <c r="P41" s="95" t="str">
        <f t="shared" si="3"/>
        <v/>
      </c>
      <c r="Q41" s="173"/>
      <c r="R41"/>
      <c r="U41"/>
      <c r="V41"/>
      <c r="W41"/>
      <c r="X41"/>
      <c r="Y41"/>
      <c r="Z41"/>
      <c r="AA41"/>
      <c r="AB41"/>
    </row>
    <row r="42" spans="1:28" ht="34.5" customHeight="1" x14ac:dyDescent="0.2">
      <c r="A42" s="107"/>
      <c r="B42" s="93"/>
      <c r="C42" s="97" t="s">
        <v>223</v>
      </c>
      <c r="D42" s="445" t="s">
        <v>538</v>
      </c>
      <c r="E42" s="568"/>
      <c r="F42" s="568"/>
      <c r="G42" s="568"/>
      <c r="H42" s="568"/>
      <c r="I42" s="568"/>
      <c r="J42" s="568"/>
      <c r="K42" s="568"/>
      <c r="L42" s="568"/>
      <c r="M42" s="568"/>
      <c r="N42" s="569"/>
      <c r="O42" s="71"/>
      <c r="P42" s="95" t="str">
        <f t="shared" si="3"/>
        <v/>
      </c>
      <c r="Q42" s="173"/>
      <c r="R42"/>
      <c r="U42"/>
      <c r="V42"/>
      <c r="W42"/>
      <c r="X42"/>
      <c r="Y42"/>
      <c r="Z42"/>
      <c r="AA42"/>
      <c r="AB42"/>
    </row>
    <row r="43" spans="1:28" ht="33" customHeight="1" x14ac:dyDescent="0.2">
      <c r="A43" s="106">
        <v>1</v>
      </c>
      <c r="B43" s="93"/>
      <c r="C43" s="97" t="s">
        <v>224</v>
      </c>
      <c r="D43" s="445" t="s">
        <v>273</v>
      </c>
      <c r="E43" s="568"/>
      <c r="F43" s="568"/>
      <c r="G43" s="568"/>
      <c r="H43" s="568"/>
      <c r="I43" s="568"/>
      <c r="J43" s="568"/>
      <c r="K43" s="568"/>
      <c r="L43" s="568"/>
      <c r="M43" s="568"/>
      <c r="N43" s="569"/>
      <c r="O43" s="71"/>
      <c r="P43" s="95" t="str">
        <f t="shared" si="3"/>
        <v/>
      </c>
      <c r="Q43" s="173"/>
      <c r="R43"/>
      <c r="U43"/>
      <c r="V43"/>
      <c r="W43"/>
      <c r="X43"/>
      <c r="Y43"/>
      <c r="Z43"/>
      <c r="AA43"/>
      <c r="AB43"/>
    </row>
    <row r="44" spans="1:28" ht="35.25" customHeight="1" x14ac:dyDescent="0.2">
      <c r="A44" s="107" t="s">
        <v>73</v>
      </c>
      <c r="C44" s="103" t="s">
        <v>225</v>
      </c>
      <c r="D44" s="567" t="s">
        <v>274</v>
      </c>
      <c r="E44" s="470"/>
      <c r="F44" s="470"/>
      <c r="G44" s="470"/>
      <c r="H44" s="470"/>
      <c r="I44" s="470"/>
      <c r="J44" s="470"/>
      <c r="K44" s="470"/>
      <c r="L44" s="470"/>
      <c r="M44" s="470"/>
      <c r="N44" s="470"/>
      <c r="O44" s="71"/>
      <c r="P44" s="95" t="str">
        <f t="shared" si="3"/>
        <v/>
      </c>
      <c r="Q44" s="173"/>
      <c r="R44"/>
      <c r="U44"/>
      <c r="V44"/>
      <c r="W44"/>
      <c r="X44"/>
      <c r="Y44"/>
      <c r="Z44"/>
      <c r="AA44"/>
      <c r="AB44"/>
    </row>
    <row r="45" spans="1:28" ht="35.25" customHeight="1" x14ac:dyDescent="0.2">
      <c r="B45" s="93"/>
      <c r="C45" s="97" t="s">
        <v>226</v>
      </c>
      <c r="D45" s="445" t="s">
        <v>275</v>
      </c>
      <c r="E45" s="568"/>
      <c r="F45" s="568"/>
      <c r="G45" s="568"/>
      <c r="H45" s="568"/>
      <c r="I45" s="568"/>
      <c r="J45" s="568"/>
      <c r="K45" s="568"/>
      <c r="L45" s="568"/>
      <c r="M45" s="568"/>
      <c r="N45" s="569"/>
      <c r="O45" s="71"/>
      <c r="P45" s="95" t="str">
        <f t="shared" si="3"/>
        <v/>
      </c>
      <c r="Q45" s="173"/>
      <c r="R45"/>
      <c r="U45"/>
      <c r="V45"/>
      <c r="W45"/>
      <c r="X45"/>
      <c r="Y45"/>
      <c r="Z45"/>
      <c r="AA45"/>
      <c r="AB45"/>
    </row>
    <row r="46" spans="1:28" ht="18" customHeight="1" x14ac:dyDescent="0.2">
      <c r="C46" s="97" t="s">
        <v>227</v>
      </c>
      <c r="D46" s="445" t="s">
        <v>276</v>
      </c>
      <c r="E46" s="570"/>
      <c r="F46" s="570"/>
      <c r="G46" s="570"/>
      <c r="H46" s="570"/>
      <c r="I46" s="570"/>
      <c r="J46" s="570"/>
      <c r="K46" s="570"/>
      <c r="L46" s="570"/>
      <c r="M46" s="570"/>
      <c r="N46" s="570"/>
      <c r="O46" s="71"/>
      <c r="P46" s="95" t="str">
        <f t="shared" si="3"/>
        <v/>
      </c>
      <c r="Q46" s="173"/>
      <c r="R46"/>
      <c r="U46"/>
      <c r="V46"/>
      <c r="W46"/>
      <c r="X46"/>
      <c r="Y46"/>
      <c r="Z46"/>
      <c r="AA46"/>
      <c r="AB46"/>
    </row>
    <row r="47" spans="1:28" ht="35.25" customHeight="1" x14ac:dyDescent="0.2">
      <c r="A47" s="106">
        <v>1</v>
      </c>
      <c r="C47" s="103" t="s">
        <v>228</v>
      </c>
      <c r="D47" s="445" t="s">
        <v>277</v>
      </c>
      <c r="E47" s="568"/>
      <c r="F47" s="568"/>
      <c r="G47" s="568"/>
      <c r="H47" s="568"/>
      <c r="I47" s="568"/>
      <c r="J47" s="568"/>
      <c r="K47" s="568"/>
      <c r="L47" s="568"/>
      <c r="M47" s="568"/>
      <c r="N47" s="569"/>
      <c r="O47" s="71"/>
      <c r="P47" s="95" t="str">
        <f t="shared" si="3"/>
        <v/>
      </c>
      <c r="R47"/>
      <c r="U47"/>
      <c r="V47"/>
      <c r="W47"/>
      <c r="X47"/>
      <c r="Y47"/>
      <c r="Z47"/>
      <c r="AA47"/>
      <c r="AB47"/>
    </row>
    <row r="48" spans="1:28" ht="57.75" customHeight="1" x14ac:dyDescent="0.2">
      <c r="A48" s="107" t="s">
        <v>69</v>
      </c>
      <c r="C48" s="97" t="s">
        <v>229</v>
      </c>
      <c r="D48" s="565" t="s">
        <v>539</v>
      </c>
      <c r="E48" s="566"/>
      <c r="F48" s="566"/>
      <c r="G48" s="566"/>
      <c r="H48" s="566"/>
      <c r="I48" s="566"/>
      <c r="J48" s="566"/>
      <c r="K48" s="566"/>
      <c r="L48" s="566"/>
      <c r="M48" s="566"/>
      <c r="N48" s="566"/>
      <c r="O48" s="71"/>
      <c r="P48" s="95" t="str">
        <f t="shared" si="3"/>
        <v/>
      </c>
      <c r="Q48" s="171"/>
      <c r="R48"/>
      <c r="U48"/>
      <c r="V48"/>
      <c r="W48"/>
      <c r="X48"/>
      <c r="Y48"/>
      <c r="Z48"/>
      <c r="AA48"/>
      <c r="AB48"/>
    </row>
    <row r="49" spans="1:28" ht="39" customHeight="1" x14ac:dyDescent="0.2">
      <c r="A49" s="106">
        <v>1</v>
      </c>
      <c r="B49" s="93"/>
      <c r="C49" s="97" t="s">
        <v>230</v>
      </c>
      <c r="D49" s="567" t="s">
        <v>540</v>
      </c>
      <c r="E49" s="470"/>
      <c r="F49" s="470"/>
      <c r="G49" s="470"/>
      <c r="H49" s="470"/>
      <c r="I49" s="470"/>
      <c r="J49" s="470"/>
      <c r="K49" s="470"/>
      <c r="L49" s="470"/>
      <c r="M49" s="470"/>
      <c r="N49" s="471"/>
      <c r="O49" s="71"/>
      <c r="P49" s="95" t="str">
        <f t="shared" si="3"/>
        <v/>
      </c>
      <c r="Q49" s="123"/>
      <c r="R49"/>
      <c r="U49"/>
      <c r="V49"/>
      <c r="W49"/>
      <c r="X49"/>
      <c r="Y49"/>
      <c r="Z49"/>
      <c r="AA49"/>
      <c r="AB49"/>
    </row>
    <row r="50" spans="1:28" ht="19.5" customHeight="1" x14ac:dyDescent="0.2">
      <c r="A50" s="107" t="s">
        <v>73</v>
      </c>
      <c r="C50" s="580" t="s">
        <v>278</v>
      </c>
      <c r="D50" s="470"/>
      <c r="E50" s="470"/>
      <c r="F50" s="470"/>
      <c r="G50" s="470"/>
      <c r="H50" s="470"/>
      <c r="I50" s="470"/>
      <c r="J50" s="470"/>
      <c r="K50" s="470"/>
      <c r="L50" s="470"/>
      <c r="M50" s="470"/>
      <c r="N50" s="470"/>
      <c r="O50" s="347"/>
      <c r="P50" s="344"/>
      <c r="Q50" s="99"/>
      <c r="R50"/>
      <c r="U50"/>
      <c r="V50"/>
      <c r="W50"/>
      <c r="X50"/>
      <c r="Y50"/>
      <c r="Z50"/>
      <c r="AA50"/>
      <c r="AB50"/>
    </row>
    <row r="51" spans="1:28" ht="25.5" customHeight="1" x14ac:dyDescent="0.2">
      <c r="A51" s="107" t="s">
        <v>69</v>
      </c>
      <c r="B51" s="93"/>
      <c r="C51" s="581" t="s">
        <v>17</v>
      </c>
      <c r="D51" s="470"/>
      <c r="E51" s="470"/>
      <c r="F51" s="470"/>
      <c r="G51" s="470"/>
      <c r="H51" s="470"/>
      <c r="I51" s="470"/>
      <c r="J51" s="470"/>
      <c r="K51" s="470"/>
      <c r="L51" s="470"/>
      <c r="M51" s="470"/>
      <c r="N51" s="470"/>
      <c r="O51" s="345"/>
      <c r="Q51" s="359"/>
      <c r="R51"/>
      <c r="U51"/>
      <c r="V51"/>
      <c r="W51"/>
      <c r="X51"/>
      <c r="Y51"/>
      <c r="Z51"/>
      <c r="AA51"/>
      <c r="AB51"/>
    </row>
    <row r="52" spans="1:28" ht="21.75" customHeight="1" x14ac:dyDescent="0.25">
      <c r="A52" s="106">
        <v>1</v>
      </c>
      <c r="B52" s="93"/>
      <c r="C52" s="100" t="s">
        <v>264</v>
      </c>
      <c r="D52" s="576" t="s">
        <v>74</v>
      </c>
      <c r="E52" s="577"/>
      <c r="F52" s="577"/>
      <c r="G52" s="577"/>
      <c r="H52" s="577"/>
      <c r="I52" s="577"/>
      <c r="J52" s="577"/>
      <c r="K52" s="577"/>
      <c r="L52" s="577"/>
      <c r="M52" s="577"/>
      <c r="N52" s="578"/>
      <c r="O52" s="101" t="s">
        <v>265</v>
      </c>
      <c r="P52" s="101" t="s">
        <v>266</v>
      </c>
      <c r="Q52" s="173"/>
      <c r="R52"/>
      <c r="U52"/>
      <c r="V52"/>
      <c r="W52"/>
      <c r="X52"/>
      <c r="Y52"/>
      <c r="Z52"/>
      <c r="AA52"/>
      <c r="AB52"/>
    </row>
    <row r="53" spans="1:28" ht="34.5" customHeight="1" x14ac:dyDescent="0.2">
      <c r="A53" s="106">
        <v>1</v>
      </c>
      <c r="C53" s="94" t="s">
        <v>232</v>
      </c>
      <c r="D53" s="601" t="s">
        <v>279</v>
      </c>
      <c r="E53" s="595"/>
      <c r="F53" s="595"/>
      <c r="G53" s="595"/>
      <c r="H53" s="595"/>
      <c r="I53" s="595"/>
      <c r="J53" s="595"/>
      <c r="K53" s="595"/>
      <c r="L53" s="595"/>
      <c r="M53" s="595"/>
      <c r="N53" s="595"/>
      <c r="O53" s="71"/>
      <c r="P53" s="95" t="str">
        <f t="shared" ref="P53:P60" si="4">IF(O53="","",IF(O53="Yes","Pass",IF(O53="No","Fail","N/A")))</f>
        <v/>
      </c>
      <c r="Q53" s="173"/>
      <c r="R53"/>
      <c r="U53"/>
      <c r="V53"/>
      <c r="W53"/>
      <c r="X53"/>
      <c r="Y53"/>
      <c r="Z53"/>
      <c r="AA53"/>
      <c r="AB53"/>
    </row>
    <row r="54" spans="1:28" ht="60.75" customHeight="1" x14ac:dyDescent="0.2">
      <c r="A54" s="106">
        <v>1</v>
      </c>
      <c r="C54" s="94" t="s">
        <v>233</v>
      </c>
      <c r="D54" s="601" t="s">
        <v>457</v>
      </c>
      <c r="E54" s="605"/>
      <c r="F54" s="605"/>
      <c r="G54" s="605"/>
      <c r="H54" s="605"/>
      <c r="I54" s="605"/>
      <c r="J54" s="605"/>
      <c r="K54" s="605"/>
      <c r="L54" s="605"/>
      <c r="M54" s="605"/>
      <c r="N54" s="606"/>
      <c r="O54" s="71"/>
      <c r="P54" s="95" t="str">
        <f t="shared" si="4"/>
        <v/>
      </c>
      <c r="Q54" s="173"/>
      <c r="R54"/>
      <c r="U54"/>
      <c r="V54"/>
      <c r="W54"/>
      <c r="X54"/>
      <c r="Y54"/>
      <c r="Z54"/>
      <c r="AA54"/>
      <c r="AB54"/>
    </row>
    <row r="55" spans="1:28" ht="38.25" customHeight="1" x14ac:dyDescent="0.2">
      <c r="A55" s="106">
        <v>1</v>
      </c>
      <c r="B55" s="107" t="s">
        <v>70</v>
      </c>
      <c r="C55" s="94" t="s">
        <v>458</v>
      </c>
      <c r="D55" s="602" t="s">
        <v>454</v>
      </c>
      <c r="E55" s="603"/>
      <c r="F55" s="603"/>
      <c r="G55" s="603"/>
      <c r="H55" s="603"/>
      <c r="I55" s="603"/>
      <c r="J55" s="603"/>
      <c r="K55" s="603"/>
      <c r="L55" s="603"/>
      <c r="M55" s="603"/>
      <c r="N55" s="604"/>
      <c r="O55" s="71"/>
      <c r="P55" s="95" t="str">
        <f t="shared" si="4"/>
        <v/>
      </c>
      <c r="Q55" s="173"/>
      <c r="R55"/>
      <c r="U55"/>
      <c r="V55"/>
      <c r="W55"/>
      <c r="X55"/>
      <c r="Y55"/>
      <c r="Z55"/>
      <c r="AA55"/>
      <c r="AB55"/>
    </row>
    <row r="56" spans="1:28" ht="68.25" customHeight="1" x14ac:dyDescent="0.2">
      <c r="A56" s="107" t="s">
        <v>73</v>
      </c>
      <c r="C56" s="94" t="s">
        <v>234</v>
      </c>
      <c r="D56" s="594" t="s">
        <v>541</v>
      </c>
      <c r="E56" s="595"/>
      <c r="F56" s="595"/>
      <c r="G56" s="595"/>
      <c r="H56" s="595"/>
      <c r="I56" s="595"/>
      <c r="J56" s="595"/>
      <c r="K56" s="595"/>
      <c r="L56" s="595"/>
      <c r="M56" s="595"/>
      <c r="N56" s="596"/>
      <c r="O56" s="71"/>
      <c r="P56" s="95" t="str">
        <f t="shared" si="4"/>
        <v/>
      </c>
      <c r="Q56" s="173"/>
      <c r="R56"/>
      <c r="U56"/>
      <c r="V56"/>
      <c r="W56"/>
      <c r="X56"/>
      <c r="Y56"/>
      <c r="Z56"/>
      <c r="AA56"/>
      <c r="AB56"/>
    </row>
    <row r="57" spans="1:28" ht="31.5" customHeight="1" x14ac:dyDescent="0.2">
      <c r="B57" s="93"/>
      <c r="C57" s="94" t="s">
        <v>235</v>
      </c>
      <c r="D57" s="602" t="s">
        <v>459</v>
      </c>
      <c r="E57" s="603"/>
      <c r="F57" s="603"/>
      <c r="G57" s="603"/>
      <c r="H57" s="603"/>
      <c r="I57" s="603"/>
      <c r="J57" s="603"/>
      <c r="K57" s="603"/>
      <c r="L57" s="603"/>
      <c r="M57" s="603"/>
      <c r="N57" s="604"/>
      <c r="O57" s="71"/>
      <c r="P57" s="95" t="str">
        <f t="shared" si="4"/>
        <v/>
      </c>
      <c r="Q57" s="173"/>
      <c r="R57"/>
      <c r="U57"/>
      <c r="V57"/>
      <c r="W57"/>
      <c r="X57"/>
      <c r="Y57"/>
      <c r="Z57"/>
      <c r="AA57"/>
      <c r="AB57"/>
    </row>
    <row r="58" spans="1:28" ht="40.5" customHeight="1" x14ac:dyDescent="0.2">
      <c r="C58" s="104" t="s">
        <v>460</v>
      </c>
      <c r="D58" s="597" t="s">
        <v>455</v>
      </c>
      <c r="E58" s="595"/>
      <c r="F58" s="595"/>
      <c r="G58" s="595"/>
      <c r="H58" s="595"/>
      <c r="I58" s="595"/>
      <c r="J58" s="595"/>
      <c r="K58" s="595"/>
      <c r="L58" s="595"/>
      <c r="M58" s="595"/>
      <c r="N58" s="596"/>
      <c r="O58" s="71"/>
      <c r="P58" s="95" t="str">
        <f t="shared" si="4"/>
        <v/>
      </c>
      <c r="Q58" s="173"/>
      <c r="R58"/>
      <c r="U58"/>
      <c r="V58"/>
      <c r="W58"/>
      <c r="X58"/>
      <c r="Y58"/>
      <c r="Z58"/>
      <c r="AA58"/>
      <c r="AB58"/>
    </row>
    <row r="59" spans="1:28" ht="30" customHeight="1" x14ac:dyDescent="0.2">
      <c r="A59" s="107" t="s">
        <v>70</v>
      </c>
      <c r="C59" s="104" t="s">
        <v>236</v>
      </c>
      <c r="D59" s="598" t="s">
        <v>456</v>
      </c>
      <c r="E59" s="599"/>
      <c r="F59" s="599"/>
      <c r="G59" s="599"/>
      <c r="H59" s="599"/>
      <c r="I59" s="599"/>
      <c r="J59" s="599"/>
      <c r="K59" s="599"/>
      <c r="L59" s="599"/>
      <c r="M59" s="599"/>
      <c r="N59" s="600"/>
      <c r="O59" s="71"/>
      <c r="P59" s="95" t="str">
        <f t="shared" si="4"/>
        <v/>
      </c>
      <c r="Q59" s="173"/>
      <c r="R59"/>
      <c r="U59"/>
      <c r="V59"/>
      <c r="W59"/>
      <c r="X59"/>
      <c r="Y59"/>
      <c r="Z59"/>
      <c r="AA59"/>
      <c r="AB59"/>
    </row>
    <row r="60" spans="1:28" ht="30" customHeight="1" x14ac:dyDescent="0.2">
      <c r="A60" s="107" t="s">
        <v>70</v>
      </c>
      <c r="B60" s="93"/>
      <c r="C60" s="104" t="s">
        <v>237</v>
      </c>
      <c r="D60" s="598" t="s">
        <v>280</v>
      </c>
      <c r="E60" s="599"/>
      <c r="F60" s="599"/>
      <c r="G60" s="599"/>
      <c r="H60" s="599"/>
      <c r="I60" s="599"/>
      <c r="J60" s="599"/>
      <c r="K60" s="599"/>
      <c r="L60" s="599"/>
      <c r="M60" s="599"/>
      <c r="N60" s="600"/>
      <c r="O60" s="71"/>
      <c r="P60" s="95" t="str">
        <f t="shared" si="4"/>
        <v/>
      </c>
      <c r="Q60" s="171"/>
      <c r="R60"/>
      <c r="U60"/>
      <c r="V60"/>
      <c r="W60"/>
      <c r="X60"/>
      <c r="Y60"/>
      <c r="Z60"/>
      <c r="AA60"/>
      <c r="AB60"/>
    </row>
    <row r="61" spans="1:28" ht="22.5" customHeight="1" x14ac:dyDescent="0.2">
      <c r="A61" s="107" t="s">
        <v>69</v>
      </c>
      <c r="B61" s="107" t="s">
        <v>69</v>
      </c>
      <c r="C61" s="580" t="s">
        <v>281</v>
      </c>
      <c r="D61" s="470"/>
      <c r="E61" s="470"/>
      <c r="F61" s="470"/>
      <c r="G61" s="470"/>
      <c r="H61" s="470"/>
      <c r="I61" s="470"/>
      <c r="J61" s="470"/>
      <c r="K61" s="470"/>
      <c r="L61" s="470"/>
      <c r="M61" s="470"/>
      <c r="N61" s="470"/>
      <c r="O61" s="347"/>
      <c r="P61" s="345"/>
      <c r="Q61" s="172"/>
      <c r="R61"/>
      <c r="U61"/>
      <c r="V61"/>
      <c r="W61"/>
      <c r="X61"/>
      <c r="Y61"/>
      <c r="Z61"/>
      <c r="AA61"/>
      <c r="AB61"/>
    </row>
    <row r="62" spans="1:28" ht="28.5" customHeight="1" x14ac:dyDescent="0.2">
      <c r="A62" s="107"/>
      <c r="B62" s="147"/>
      <c r="C62" s="581" t="s">
        <v>17</v>
      </c>
      <c r="D62" s="470"/>
      <c r="E62" s="470"/>
      <c r="F62" s="470"/>
      <c r="G62" s="470"/>
      <c r="H62" s="470"/>
      <c r="I62" s="470"/>
      <c r="J62" s="470"/>
      <c r="K62" s="470"/>
      <c r="L62" s="470"/>
      <c r="M62" s="470"/>
      <c r="N62" s="470"/>
      <c r="O62" s="345"/>
      <c r="Q62" s="171"/>
      <c r="R62"/>
      <c r="U62"/>
      <c r="V62"/>
      <c r="W62"/>
      <c r="X62"/>
      <c r="Y62"/>
      <c r="Z62"/>
      <c r="AA62"/>
      <c r="AB62"/>
    </row>
    <row r="63" spans="1:28" ht="30" customHeight="1" x14ac:dyDescent="0.25">
      <c r="A63" s="107" t="s">
        <v>70</v>
      </c>
      <c r="B63" s="93"/>
      <c r="C63" s="100" t="s">
        <v>264</v>
      </c>
      <c r="D63" s="573" t="s">
        <v>75</v>
      </c>
      <c r="E63" s="574"/>
      <c r="F63" s="574"/>
      <c r="G63" s="574"/>
      <c r="H63" s="574"/>
      <c r="I63" s="574"/>
      <c r="J63" s="574"/>
      <c r="K63" s="574"/>
      <c r="L63" s="574"/>
      <c r="M63" s="574"/>
      <c r="N63" s="440"/>
      <c r="O63" s="101" t="s">
        <v>265</v>
      </c>
      <c r="P63" s="101" t="s">
        <v>266</v>
      </c>
      <c r="Q63" s="359"/>
      <c r="R63"/>
      <c r="U63"/>
      <c r="V63"/>
      <c r="W63"/>
      <c r="X63"/>
      <c r="Y63"/>
      <c r="Z63"/>
      <c r="AA63"/>
      <c r="AB63"/>
    </row>
    <row r="64" spans="1:28" ht="30" customHeight="1" x14ac:dyDescent="0.2">
      <c r="A64" s="107" t="s">
        <v>70</v>
      </c>
      <c r="B64" s="93"/>
      <c r="C64" s="94" t="s">
        <v>239</v>
      </c>
      <c r="D64" s="567" t="s">
        <v>461</v>
      </c>
      <c r="E64" s="470"/>
      <c r="F64" s="470"/>
      <c r="G64" s="470"/>
      <c r="H64" s="470"/>
      <c r="I64" s="470"/>
      <c r="J64" s="470"/>
      <c r="K64" s="470"/>
      <c r="L64" s="470"/>
      <c r="M64" s="470"/>
      <c r="N64" s="471"/>
      <c r="O64" s="71"/>
      <c r="P64" s="95" t="str">
        <f t="shared" ref="P64:P69" si="5">IF(O64="","",IF(O64="Yes","Pass",IF(O64="No","Fail","N/A")))</f>
        <v/>
      </c>
      <c r="Q64" s="173"/>
      <c r="R64"/>
      <c r="U64"/>
      <c r="V64"/>
      <c r="W64"/>
      <c r="X64"/>
      <c r="Y64"/>
      <c r="Z64"/>
      <c r="AA64"/>
      <c r="AB64"/>
    </row>
    <row r="65" spans="1:28" ht="33.75" customHeight="1" x14ac:dyDescent="0.2">
      <c r="A65" s="107" t="s">
        <v>76</v>
      </c>
      <c r="B65" s="93"/>
      <c r="C65" s="94" t="s">
        <v>240</v>
      </c>
      <c r="D65" s="567" t="s">
        <v>282</v>
      </c>
      <c r="E65" s="470"/>
      <c r="F65" s="470"/>
      <c r="G65" s="470"/>
      <c r="H65" s="470"/>
      <c r="I65" s="470"/>
      <c r="J65" s="470"/>
      <c r="K65" s="470"/>
      <c r="L65" s="470"/>
      <c r="M65" s="470"/>
      <c r="N65" s="471"/>
      <c r="O65" s="71"/>
      <c r="P65" s="95" t="str">
        <f t="shared" si="5"/>
        <v/>
      </c>
      <c r="Q65" s="173"/>
      <c r="R65"/>
      <c r="U65"/>
      <c r="V65"/>
      <c r="W65"/>
      <c r="X65"/>
      <c r="Y65"/>
      <c r="Z65"/>
      <c r="AA65"/>
      <c r="AB65"/>
    </row>
    <row r="66" spans="1:28" ht="49.5" customHeight="1" x14ac:dyDescent="0.2">
      <c r="A66" s="106">
        <v>1</v>
      </c>
      <c r="B66" s="93"/>
      <c r="C66" s="94" t="s">
        <v>241</v>
      </c>
      <c r="D66" s="567" t="s">
        <v>462</v>
      </c>
      <c r="E66" s="470"/>
      <c r="F66" s="470"/>
      <c r="G66" s="470"/>
      <c r="H66" s="470"/>
      <c r="I66" s="470"/>
      <c r="J66" s="470"/>
      <c r="K66" s="470"/>
      <c r="L66" s="470"/>
      <c r="M66" s="470"/>
      <c r="N66" s="471"/>
      <c r="O66" s="71"/>
      <c r="P66" s="95" t="str">
        <f t="shared" si="5"/>
        <v/>
      </c>
      <c r="Q66" s="173"/>
      <c r="R66"/>
      <c r="U66"/>
      <c r="V66"/>
      <c r="W66"/>
      <c r="X66"/>
      <c r="Y66"/>
      <c r="Z66"/>
      <c r="AA66"/>
      <c r="AB66"/>
    </row>
    <row r="67" spans="1:28" ht="35.25" customHeight="1" x14ac:dyDescent="0.2">
      <c r="A67" s="107" t="s">
        <v>73</v>
      </c>
      <c r="C67" s="148" t="s">
        <v>542</v>
      </c>
      <c r="D67" s="593" t="s">
        <v>464</v>
      </c>
      <c r="E67" s="470"/>
      <c r="F67" s="470"/>
      <c r="G67" s="470"/>
      <c r="H67" s="470"/>
      <c r="I67" s="470"/>
      <c r="J67" s="470"/>
      <c r="K67" s="470"/>
      <c r="L67" s="470"/>
      <c r="M67" s="470"/>
      <c r="N67" s="470"/>
      <c r="O67" s="71"/>
      <c r="P67" s="95" t="str">
        <f t="shared" si="5"/>
        <v/>
      </c>
      <c r="Q67" s="173"/>
      <c r="R67"/>
      <c r="U67"/>
      <c r="V67"/>
      <c r="W67"/>
      <c r="X67"/>
      <c r="Y67"/>
      <c r="Z67"/>
      <c r="AA67"/>
      <c r="AB67"/>
    </row>
    <row r="68" spans="1:28" ht="36" customHeight="1" x14ac:dyDescent="0.2">
      <c r="B68" s="93"/>
      <c r="C68" s="94" t="s">
        <v>242</v>
      </c>
      <c r="D68" s="469" t="s">
        <v>546</v>
      </c>
      <c r="E68" s="470"/>
      <c r="F68" s="470"/>
      <c r="G68" s="470"/>
      <c r="H68" s="470"/>
      <c r="I68" s="470"/>
      <c r="J68" s="470"/>
      <c r="K68" s="470"/>
      <c r="L68" s="470"/>
      <c r="M68" s="470"/>
      <c r="N68" s="471"/>
      <c r="O68" s="71"/>
      <c r="P68" s="95" t="str">
        <f t="shared" si="5"/>
        <v/>
      </c>
      <c r="Q68" s="173"/>
      <c r="R68"/>
      <c r="U68"/>
      <c r="V68"/>
      <c r="W68"/>
      <c r="X68"/>
      <c r="Y68"/>
      <c r="Z68"/>
      <c r="AA68"/>
      <c r="AB68"/>
    </row>
    <row r="69" spans="1:28" ht="52.5" customHeight="1" x14ac:dyDescent="0.2">
      <c r="C69" s="94" t="s">
        <v>243</v>
      </c>
      <c r="D69" s="469" t="s">
        <v>547</v>
      </c>
      <c r="E69" s="470"/>
      <c r="F69" s="470"/>
      <c r="G69" s="470"/>
      <c r="H69" s="470"/>
      <c r="I69" s="470"/>
      <c r="J69" s="470"/>
      <c r="K69" s="470"/>
      <c r="L69" s="470"/>
      <c r="M69" s="470"/>
      <c r="N69" s="471"/>
      <c r="O69" s="71"/>
      <c r="P69" s="95" t="str">
        <f t="shared" si="5"/>
        <v/>
      </c>
      <c r="Q69" s="173"/>
      <c r="R69"/>
      <c r="U69"/>
      <c r="V69"/>
      <c r="W69"/>
      <c r="X69"/>
      <c r="Y69"/>
      <c r="Z69"/>
      <c r="AA69"/>
      <c r="AB69"/>
    </row>
    <row r="70" spans="1:28" ht="21" customHeight="1" x14ac:dyDescent="0.25">
      <c r="A70" s="107" t="s">
        <v>70</v>
      </c>
      <c r="C70" s="608" t="s">
        <v>283</v>
      </c>
      <c r="D70" s="486"/>
      <c r="E70" s="486"/>
      <c r="F70" s="486"/>
      <c r="G70" s="486"/>
      <c r="H70" s="486"/>
      <c r="I70" s="486"/>
      <c r="J70" s="486"/>
      <c r="K70" s="486"/>
      <c r="L70" s="486"/>
      <c r="M70" s="486"/>
      <c r="N70" s="486"/>
      <c r="O70" s="348"/>
      <c r="P70" s="342"/>
      <c r="Q70" s="173"/>
      <c r="R70"/>
      <c r="U70"/>
      <c r="V70"/>
      <c r="W70"/>
      <c r="X70"/>
      <c r="Y70"/>
      <c r="Z70"/>
      <c r="AA70"/>
      <c r="AB70"/>
    </row>
    <row r="71" spans="1:28" ht="29.25" customHeight="1" x14ac:dyDescent="0.25">
      <c r="A71" s="107" t="s">
        <v>285</v>
      </c>
      <c r="B71" s="93"/>
      <c r="C71" s="581" t="s">
        <v>17</v>
      </c>
      <c r="D71" s="470"/>
      <c r="E71" s="470"/>
      <c r="F71" s="470"/>
      <c r="G71" s="470"/>
      <c r="H71" s="470"/>
      <c r="I71" s="470"/>
      <c r="J71" s="470"/>
      <c r="K71" s="470"/>
      <c r="L71" s="470"/>
      <c r="M71" s="470"/>
      <c r="N71" s="470"/>
      <c r="O71" s="345"/>
      <c r="Q71" s="352"/>
      <c r="R71"/>
      <c r="U71"/>
      <c r="V71"/>
      <c r="W71"/>
      <c r="X71"/>
      <c r="Y71"/>
      <c r="Z71"/>
      <c r="AA71"/>
      <c r="AB71"/>
    </row>
    <row r="72" spans="1:28" ht="21.75" customHeight="1" x14ac:dyDescent="0.25">
      <c r="A72" s="107" t="s">
        <v>76</v>
      </c>
      <c r="B72" s="107" t="s">
        <v>286</v>
      </c>
      <c r="C72" s="100" t="s">
        <v>264</v>
      </c>
      <c r="D72" s="573" t="s">
        <v>77</v>
      </c>
      <c r="E72" s="574"/>
      <c r="F72" s="574"/>
      <c r="G72" s="574"/>
      <c r="H72" s="574"/>
      <c r="I72" s="574"/>
      <c r="J72" s="574"/>
      <c r="K72" s="574"/>
      <c r="L72" s="574"/>
      <c r="M72" s="574"/>
      <c r="N72" s="574"/>
      <c r="O72" s="101" t="s">
        <v>265</v>
      </c>
      <c r="P72" s="101" t="s">
        <v>266</v>
      </c>
      <c r="Q72" s="172"/>
      <c r="R72"/>
      <c r="U72"/>
      <c r="V72"/>
      <c r="W72"/>
      <c r="X72"/>
      <c r="Y72"/>
      <c r="Z72"/>
      <c r="AA72"/>
      <c r="AB72"/>
    </row>
    <row r="73" spans="1:28" ht="36" customHeight="1" x14ac:dyDescent="0.2">
      <c r="A73" s="107" t="s">
        <v>287</v>
      </c>
      <c r="B73" s="107" t="s">
        <v>80</v>
      </c>
      <c r="C73" s="102" t="s">
        <v>245</v>
      </c>
      <c r="D73" s="607" t="s">
        <v>284</v>
      </c>
      <c r="E73" s="470"/>
      <c r="F73" s="470"/>
      <c r="G73" s="470"/>
      <c r="H73" s="470"/>
      <c r="I73" s="470"/>
      <c r="J73" s="470"/>
      <c r="K73" s="470"/>
      <c r="L73" s="470"/>
      <c r="M73" s="470"/>
      <c r="N73" s="470"/>
      <c r="O73" s="71"/>
      <c r="P73" s="95" t="str">
        <f>IF(O73="","",IF(O73="Yes","Fail",IF(O73="No","Pass","N/A")))</f>
        <v/>
      </c>
      <c r="R73"/>
      <c r="U73"/>
      <c r="V73"/>
      <c r="W73"/>
      <c r="X73"/>
      <c r="Y73"/>
      <c r="Z73"/>
      <c r="AA73"/>
      <c r="AB73"/>
    </row>
    <row r="74" spans="1:28" ht="189" customHeight="1" x14ac:dyDescent="0.2">
      <c r="A74" s="107" t="s">
        <v>288</v>
      </c>
      <c r="B74" s="93"/>
      <c r="C74" s="102" t="s">
        <v>246</v>
      </c>
      <c r="D74" s="609" t="s">
        <v>552</v>
      </c>
      <c r="E74" s="470"/>
      <c r="F74" s="470"/>
      <c r="G74" s="470"/>
      <c r="H74" s="470"/>
      <c r="I74" s="470"/>
      <c r="J74" s="470"/>
      <c r="K74" s="470"/>
      <c r="L74" s="470"/>
      <c r="M74" s="470"/>
      <c r="N74" s="470"/>
      <c r="O74" s="71"/>
      <c r="P74" s="95" t="str">
        <f>IF(O74="","",IF(O74="Yes","Fail",IF(O74="No","Pass","N/A")))</f>
        <v/>
      </c>
      <c r="Q74" s="359"/>
      <c r="R74"/>
      <c r="U74"/>
      <c r="V74"/>
      <c r="W74"/>
      <c r="X74"/>
      <c r="Y74"/>
      <c r="Z74"/>
      <c r="AA74"/>
      <c r="AB74"/>
    </row>
    <row r="75" spans="1:28" ht="94.5" customHeight="1" x14ac:dyDescent="0.2">
      <c r="A75" s="107" t="s">
        <v>81</v>
      </c>
      <c r="B75" s="93"/>
      <c r="C75" s="102" t="s">
        <v>247</v>
      </c>
      <c r="D75" s="609" t="s">
        <v>551</v>
      </c>
      <c r="E75" s="470"/>
      <c r="F75" s="470"/>
      <c r="G75" s="470"/>
      <c r="H75" s="470"/>
      <c r="I75" s="470"/>
      <c r="J75" s="470"/>
      <c r="K75" s="470"/>
      <c r="L75" s="470"/>
      <c r="M75" s="470"/>
      <c r="N75" s="470"/>
      <c r="O75" s="71"/>
      <c r="P75" s="95" t="str">
        <f t="shared" ref="P75:P82" si="6">IF(O75="","",IF(O75="Yes","Pass",IF(O75="No","Fail","N/A")))</f>
        <v/>
      </c>
      <c r="Q75" s="173"/>
      <c r="R75"/>
      <c r="U75"/>
      <c r="V75"/>
      <c r="W75"/>
      <c r="X75"/>
      <c r="Y75"/>
      <c r="Z75"/>
      <c r="AA75"/>
      <c r="AB75"/>
    </row>
    <row r="76" spans="1:28" ht="126" customHeight="1" x14ac:dyDescent="0.2">
      <c r="A76" s="107" t="s">
        <v>69</v>
      </c>
      <c r="B76" s="93"/>
      <c r="C76" s="102" t="s">
        <v>248</v>
      </c>
      <c r="D76" s="579" t="s">
        <v>550</v>
      </c>
      <c r="E76" s="572"/>
      <c r="F76" s="572"/>
      <c r="G76" s="572"/>
      <c r="H76" s="572"/>
      <c r="I76" s="572"/>
      <c r="J76" s="572"/>
      <c r="K76" s="572"/>
      <c r="L76" s="572"/>
      <c r="M76" s="572"/>
      <c r="N76" s="572"/>
      <c r="O76" s="71"/>
      <c r="P76" s="95" t="str">
        <f t="shared" si="6"/>
        <v/>
      </c>
      <c r="Q76" s="173"/>
      <c r="R76"/>
      <c r="U76"/>
      <c r="V76"/>
      <c r="W76"/>
      <c r="X76"/>
      <c r="Y76"/>
      <c r="Z76"/>
      <c r="AA76"/>
      <c r="AB76"/>
    </row>
    <row r="77" spans="1:28" ht="78" customHeight="1" x14ac:dyDescent="0.2">
      <c r="A77" s="107" t="s">
        <v>288</v>
      </c>
      <c r="B77" s="93"/>
      <c r="C77" s="102" t="s">
        <v>249</v>
      </c>
      <c r="D77" s="579" t="s">
        <v>289</v>
      </c>
      <c r="E77" s="572"/>
      <c r="F77" s="572"/>
      <c r="G77" s="572"/>
      <c r="H77" s="572"/>
      <c r="I77" s="572"/>
      <c r="J77" s="572"/>
      <c r="K77" s="572"/>
      <c r="L77" s="572"/>
      <c r="M77" s="572"/>
      <c r="N77" s="582"/>
      <c r="O77" s="71"/>
      <c r="P77" s="95" t="str">
        <f t="shared" si="6"/>
        <v/>
      </c>
      <c r="Q77" s="173"/>
      <c r="R77"/>
      <c r="U77"/>
      <c r="V77"/>
      <c r="W77"/>
      <c r="X77"/>
      <c r="Y77"/>
      <c r="Z77"/>
      <c r="AA77"/>
      <c r="AB77"/>
    </row>
    <row r="78" spans="1:28" ht="108.75" customHeight="1" x14ac:dyDescent="0.2">
      <c r="A78" s="107" t="s">
        <v>73</v>
      </c>
      <c r="B78" s="93"/>
      <c r="C78" s="102" t="s">
        <v>250</v>
      </c>
      <c r="D78" s="579" t="s">
        <v>543</v>
      </c>
      <c r="E78" s="572"/>
      <c r="F78" s="572"/>
      <c r="G78" s="572"/>
      <c r="H78" s="572"/>
      <c r="I78" s="572"/>
      <c r="J78" s="572"/>
      <c r="K78" s="572"/>
      <c r="L78" s="572"/>
      <c r="M78" s="572"/>
      <c r="N78" s="582"/>
      <c r="O78" s="71"/>
      <c r="P78" s="95" t="str">
        <f t="shared" si="6"/>
        <v/>
      </c>
      <c r="Q78" s="173"/>
      <c r="R78"/>
      <c r="U78"/>
      <c r="V78"/>
      <c r="W78"/>
      <c r="X78"/>
      <c r="Y78"/>
      <c r="Z78"/>
      <c r="AA78"/>
      <c r="AB78"/>
    </row>
    <row r="79" spans="1:28" ht="36" customHeight="1" x14ac:dyDescent="0.2">
      <c r="A79" s="107" t="s">
        <v>81</v>
      </c>
      <c r="B79" s="93"/>
      <c r="C79" s="102" t="s">
        <v>251</v>
      </c>
      <c r="D79" s="567" t="s">
        <v>290</v>
      </c>
      <c r="E79" s="572"/>
      <c r="F79" s="572"/>
      <c r="G79" s="572"/>
      <c r="H79" s="572"/>
      <c r="I79" s="572"/>
      <c r="J79" s="572"/>
      <c r="K79" s="572"/>
      <c r="L79" s="572"/>
      <c r="M79" s="572"/>
      <c r="N79" s="582"/>
      <c r="O79" s="71"/>
      <c r="P79" s="95" t="str">
        <f t="shared" si="6"/>
        <v/>
      </c>
      <c r="Q79" s="173"/>
      <c r="R79"/>
      <c r="U79"/>
      <c r="V79"/>
      <c r="W79"/>
      <c r="X79"/>
      <c r="Y79"/>
      <c r="Z79"/>
      <c r="AA79"/>
      <c r="AB79"/>
    </row>
    <row r="80" spans="1:28" ht="91.5" customHeight="1" x14ac:dyDescent="0.2">
      <c r="A80" s="107" t="s">
        <v>81</v>
      </c>
      <c r="B80" s="93"/>
      <c r="C80" s="102" t="s">
        <v>252</v>
      </c>
      <c r="D80" s="579" t="s">
        <v>549</v>
      </c>
      <c r="E80" s="572"/>
      <c r="F80" s="572"/>
      <c r="G80" s="572"/>
      <c r="H80" s="572"/>
      <c r="I80" s="572"/>
      <c r="J80" s="572"/>
      <c r="K80" s="572"/>
      <c r="L80" s="572"/>
      <c r="M80" s="572"/>
      <c r="N80" s="582"/>
      <c r="O80" s="71"/>
      <c r="P80" s="95" t="str">
        <f t="shared" si="6"/>
        <v/>
      </c>
      <c r="Q80" s="173"/>
      <c r="R80"/>
      <c r="U80"/>
      <c r="V80"/>
      <c r="W80"/>
      <c r="X80"/>
      <c r="Y80"/>
      <c r="Z80"/>
      <c r="AA80"/>
      <c r="AB80"/>
    </row>
    <row r="81" spans="1:18" ht="61.5" customHeight="1" x14ac:dyDescent="0.2">
      <c r="A81" s="107" t="s">
        <v>288</v>
      </c>
      <c r="B81" s="93"/>
      <c r="C81" s="102" t="s">
        <v>253</v>
      </c>
      <c r="D81" s="579" t="s">
        <v>291</v>
      </c>
      <c r="E81" s="572"/>
      <c r="F81" s="572"/>
      <c r="G81" s="572"/>
      <c r="H81" s="572"/>
      <c r="I81" s="572"/>
      <c r="J81" s="572"/>
      <c r="K81" s="572"/>
      <c r="L81" s="572"/>
      <c r="M81" s="572"/>
      <c r="N81" s="582"/>
      <c r="O81" s="71"/>
      <c r="P81" s="95" t="str">
        <f t="shared" si="6"/>
        <v/>
      </c>
      <c r="Q81"/>
      <c r="R81"/>
    </row>
    <row r="82" spans="1:18" ht="78.75" customHeight="1" x14ac:dyDescent="0.2">
      <c r="A82" s="106">
        <v>1</v>
      </c>
      <c r="B82" s="93"/>
      <c r="C82" s="102" t="s">
        <v>254</v>
      </c>
      <c r="D82" s="609" t="s">
        <v>548</v>
      </c>
      <c r="E82" s="470"/>
      <c r="F82" s="470"/>
      <c r="G82" s="470"/>
      <c r="H82" s="470"/>
      <c r="I82" s="470"/>
      <c r="J82" s="470"/>
      <c r="K82" s="470"/>
      <c r="L82" s="470"/>
      <c r="M82" s="470"/>
      <c r="N82" s="471"/>
      <c r="O82" s="71"/>
      <c r="P82" s="95" t="str">
        <f t="shared" si="6"/>
        <v/>
      </c>
      <c r="Q82"/>
      <c r="R82"/>
    </row>
    <row r="83" spans="1:18" ht="20.25" customHeight="1" x14ac:dyDescent="0.2">
      <c r="A83" s="107" t="s">
        <v>73</v>
      </c>
      <c r="C83" s="469" t="s">
        <v>292</v>
      </c>
      <c r="D83" s="470"/>
      <c r="E83" s="470"/>
      <c r="F83" s="470"/>
      <c r="G83" s="470"/>
      <c r="H83" s="470"/>
      <c r="I83" s="470"/>
      <c r="J83" s="470"/>
      <c r="K83" s="470"/>
      <c r="L83" s="470"/>
      <c r="M83" s="470"/>
      <c r="N83" s="470"/>
      <c r="O83" s="346"/>
      <c r="P83" s="95"/>
      <c r="Q83"/>
      <c r="R83"/>
    </row>
    <row r="84" spans="1:18" ht="21" customHeight="1" x14ac:dyDescent="0.2">
      <c r="B84" s="93"/>
      <c r="C84" s="581" t="s">
        <v>17</v>
      </c>
      <c r="D84" s="470"/>
      <c r="E84" s="470"/>
      <c r="F84" s="470"/>
      <c r="G84" s="470"/>
      <c r="H84" s="470"/>
      <c r="I84" s="470"/>
      <c r="J84" s="470"/>
      <c r="K84" s="470"/>
      <c r="L84" s="470"/>
      <c r="M84" s="470"/>
      <c r="N84" s="470"/>
      <c r="O84" s="345"/>
      <c r="P84" s="346"/>
      <c r="Q84"/>
      <c r="R84"/>
    </row>
    <row r="85" spans="1:18" ht="18" x14ac:dyDescent="0.2">
      <c r="P85" s="345"/>
      <c r="Q85" s="173"/>
      <c r="R85" s="173"/>
    </row>
    <row r="86" spans="1:18" ht="18" x14ac:dyDescent="0.2">
      <c r="P86" s="105"/>
      <c r="Q86" s="173"/>
      <c r="R86" s="173"/>
    </row>
    <row r="87" spans="1:18" x14ac:dyDescent="0.2">
      <c r="P87" s="105"/>
      <c r="Q87" s="105"/>
      <c r="R87" s="105"/>
    </row>
    <row r="88" spans="1:18" x14ac:dyDescent="0.2">
      <c r="Q88" s="105"/>
      <c r="R88" s="105"/>
    </row>
    <row r="89" spans="1:18" x14ac:dyDescent="0.2">
      <c r="Q89" s="105"/>
      <c r="R89" s="105"/>
    </row>
    <row r="90" spans="1:18" x14ac:dyDescent="0.2">
      <c r="Q90" s="105"/>
      <c r="R90" s="105"/>
    </row>
  </sheetData>
  <sheetProtection algorithmName="SHA-512" hashValue="sMNmrW0DhYxA2bbTzudU9DWIjx8nTWS2j3XVWgrMZmK+aZIFhLGTbsvMTrNYyHkZl+D2HGcCqy2gchgLZvSlvQ==" saltValue="UsyFAWO5Odt/AKUr89M3XA==" spinCount="100000" sheet="1" objects="1" scenarios="1"/>
  <mergeCells count="83">
    <mergeCell ref="D82:N82"/>
    <mergeCell ref="C83:N83"/>
    <mergeCell ref="C84:N84"/>
    <mergeCell ref="D60:N60"/>
    <mergeCell ref="C61:N61"/>
    <mergeCell ref="C62:N62"/>
    <mergeCell ref="D69:N69"/>
    <mergeCell ref="C70:N70"/>
    <mergeCell ref="D73:N73"/>
    <mergeCell ref="D74:N74"/>
    <mergeCell ref="D64:N64"/>
    <mergeCell ref="D63:N63"/>
    <mergeCell ref="D72:N72"/>
    <mergeCell ref="D65:N65"/>
    <mergeCell ref="D66:N66"/>
    <mergeCell ref="D67:N67"/>
    <mergeCell ref="C28:N28"/>
    <mergeCell ref="D33:N33"/>
    <mergeCell ref="C34:N34"/>
    <mergeCell ref="C35:N35"/>
    <mergeCell ref="D37:N37"/>
    <mergeCell ref="D31:N31"/>
    <mergeCell ref="D32:N32"/>
    <mergeCell ref="D36:N36"/>
    <mergeCell ref="K2:L2"/>
    <mergeCell ref="C1:G1"/>
    <mergeCell ref="C2:G2"/>
    <mergeCell ref="D14:N14"/>
    <mergeCell ref="D8:N8"/>
    <mergeCell ref="D9:N9"/>
    <mergeCell ref="D10:N10"/>
    <mergeCell ref="D11:N11"/>
    <mergeCell ref="D12:N12"/>
    <mergeCell ref="D13:N13"/>
    <mergeCell ref="E5:G5"/>
    <mergeCell ref="D19:N19"/>
    <mergeCell ref="C20:N20"/>
    <mergeCell ref="C21:N21"/>
    <mergeCell ref="D26:N26"/>
    <mergeCell ref="C27:N27"/>
    <mergeCell ref="D52:N52"/>
    <mergeCell ref="D42:N42"/>
    <mergeCell ref="D46:N46"/>
    <mergeCell ref="D47:N47"/>
    <mergeCell ref="D48:N48"/>
    <mergeCell ref="D43:N43"/>
    <mergeCell ref="D44:N44"/>
    <mergeCell ref="D45:N45"/>
    <mergeCell ref="D49:N49"/>
    <mergeCell ref="C50:N50"/>
    <mergeCell ref="C51:N51"/>
    <mergeCell ref="S1:U1"/>
    <mergeCell ref="T4:U4"/>
    <mergeCell ref="D41:N41"/>
    <mergeCell ref="D40:N40"/>
    <mergeCell ref="D39:N39"/>
    <mergeCell ref="D23:N23"/>
    <mergeCell ref="K1:L1"/>
    <mergeCell ref="D30:N30"/>
    <mergeCell ref="D29:N29"/>
    <mergeCell ref="D15:N15"/>
    <mergeCell ref="D16:N16"/>
    <mergeCell ref="D17:N17"/>
    <mergeCell ref="D18:N18"/>
    <mergeCell ref="D22:N22"/>
    <mergeCell ref="D24:N24"/>
    <mergeCell ref="D25:N25"/>
    <mergeCell ref="D56:N56"/>
    <mergeCell ref="D57:N57"/>
    <mergeCell ref="D53:N53"/>
    <mergeCell ref="D58:N58"/>
    <mergeCell ref="D59:N59"/>
    <mergeCell ref="D54:N54"/>
    <mergeCell ref="D55:N55"/>
    <mergeCell ref="D68:N68"/>
    <mergeCell ref="C71:N71"/>
    <mergeCell ref="D81:N81"/>
    <mergeCell ref="D78:N78"/>
    <mergeCell ref="D80:N80"/>
    <mergeCell ref="D75:N75"/>
    <mergeCell ref="D76:N76"/>
    <mergeCell ref="D77:N77"/>
    <mergeCell ref="D79:N79"/>
  </mergeCells>
  <conditionalFormatting sqref="M5">
    <cfRule type="containsText" dxfId="14" priority="4" operator="containsText" text="Fail">
      <formula>NOT(ISERROR(SEARCH("Fail",M5)))</formula>
    </cfRule>
  </conditionalFormatting>
  <conditionalFormatting sqref="P8:R19 P20 P22:R26 P29:R33 Q34:Q46 P36:P37 P39:P49 Q51:Q59 P52:P60 P63:P69 Q63:Q70 P72:P83 Q74:Q80">
    <cfRule type="containsText" dxfId="13" priority="1" operator="containsText" text="Fail">
      <formula>NOT(ISERROR(SEARCH("Fail",P8)))</formula>
    </cfRule>
  </conditionalFormatting>
  <conditionalFormatting sqref="Q85:R86">
    <cfRule type="containsText" dxfId="12" priority="6" operator="containsText" text="Fail">
      <formula>NOT(ISERROR(SEARCH("Fail",Q85)))</formula>
    </cfRule>
  </conditionalFormatting>
  <conditionalFormatting sqref="U1:U3 T4">
    <cfRule type="containsText" dxfId="11" priority="2" operator="containsText" text="Fail">
      <formula>NOT(ISERROR(SEARCH("Fail",T1)))</formula>
    </cfRule>
  </conditionalFormatting>
  <conditionalFormatting sqref="AE9">
    <cfRule type="containsText" dxfId="10" priority="5" operator="containsText" text="Fail">
      <formula>NOT(ISERROR(SEARCH("Fail",AE9)))</formula>
    </cfRule>
  </conditionalFormatting>
  <dataValidations count="4">
    <dataValidation type="whole" operator="greaterThan" allowBlank="1" showInputMessage="1" showErrorMessage="1" sqref="X9:X34" xr:uid="{35F48F89-6B73-4D45-A38A-D35292078985}">
      <formula1>0</formula1>
    </dataValidation>
    <dataValidation type="date" operator="greaterThan" allowBlank="1" showInputMessage="1" showErrorMessage="1" sqref="W9:W34" xr:uid="{ADA5335F-6E3F-446E-9E0F-21E86F6F6E44}">
      <formula1>36526</formula1>
    </dataValidation>
    <dataValidation type="list" showErrorMessage="1" errorTitle="Invalid Selection" error="Select either Yes, No, or N/A from the dropdown list. Click &quot;Cancel&quot; below, then update selection." sqref="O73:O82 O23:O26 O53:O60 O39:O49 O64:O69 O37 O30:O33 O9:O19" xr:uid="{2DF0CEF3-9C71-467A-B174-3626EF156C16}">
      <formula1>"Yes,No,N/A"</formula1>
    </dataValidation>
    <dataValidation type="decimal" operator="greaterThanOrEqual" allowBlank="1" showInputMessage="1" showErrorMessage="1" errorTitle="Input Error" error="Insert the claimed amount with dollars and cents in $0.00 format. Click &quot;Cancel&quot; below and try again." sqref="Y9:Y34" xr:uid="{B4C9FA1D-2806-4716-BC7D-7192676CF58A}">
      <formula1>0</formula1>
    </dataValidation>
  </dataValidations>
  <pageMargins left="0.7" right="0.7" top="1" bottom="0.75" header="0.3" footer="0.3"/>
  <pageSetup scale="70" fitToHeight="0" orientation="portrait" r:id="rId1"/>
  <headerFooter>
    <oddHeader>&amp;CConfidential QI Report
San Diego County Mental Health Plan
Behavioral Health Services
Fiscal Year 23-24</oddHeader>
    <oddFooter>&amp;LFY 23-24 Medical Record Review Report - Excel - Rev. 7-1-23</oddFooter>
  </headerFooter>
  <colBreaks count="1" manualBreakCount="1">
    <brk id="16" max="84"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E143051D-F914-4914-8494-0CA81653C496}">
          <x14:formula1>
            <xm:f>Validations!$E$4:$E$15</xm:f>
          </x14:formula1>
          <xm:sqref>Z9:Z34</xm:sqref>
        </x14:dataValidation>
        <x14:dataValidation type="list" allowBlank="1" showInputMessage="1" showErrorMessage="1" xr:uid="{8B8C160A-2F1D-4B85-B536-1D2E853DFA2E}">
          <x14:formula1>
            <xm:f>Validations!$D$4:$D$7</xm:f>
          </x14:formula1>
          <xm:sqref>AA9:AA34</xm:sqref>
        </x14:dataValidation>
        <x14:dataValidation type="list" allowBlank="1" showInputMessage="1" showErrorMessage="1" xr:uid="{09FEE3E4-862F-452B-A991-70BCD1AFBABE}">
          <x14:formula1>
            <xm:f>Validations!$C$4:$C$54</xm:f>
          </x14:formula1>
          <xm:sqref>V9:V34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42D1F-D0F1-4868-84D4-0ADB2810091F}">
  <sheetPr codeName="Sheet1">
    <tabColor theme="6" tint="-0.249977111117893"/>
  </sheetPr>
  <dimension ref="B1:T36"/>
  <sheetViews>
    <sheetView view="pageBreakPreview" zoomScaleNormal="100" zoomScaleSheetLayoutView="100" workbookViewId="0">
      <selection activeCell="C14" sqref="C14"/>
    </sheetView>
  </sheetViews>
  <sheetFormatPr defaultRowHeight="12.75" x14ac:dyDescent="0.2"/>
  <cols>
    <col min="2" max="2" width="12.5703125" customWidth="1"/>
    <col min="3" max="3" width="21.7109375" customWidth="1"/>
    <col min="4" max="4" width="30.5703125" customWidth="1"/>
    <col min="5" max="5" width="7.5703125" customWidth="1"/>
    <col min="6" max="6" width="21.5703125" customWidth="1"/>
    <col min="7" max="7" width="20.5703125" customWidth="1"/>
    <col min="9" max="9" width="81.5703125" customWidth="1"/>
    <col min="14" max="14" width="14.42578125" customWidth="1"/>
    <col min="18" max="18" width="14" customWidth="1"/>
  </cols>
  <sheetData>
    <row r="1" spans="2:20" ht="15.75" x14ac:dyDescent="0.25">
      <c r="B1" s="433" t="s">
        <v>0</v>
      </c>
      <c r="C1" s="428"/>
      <c r="D1" s="428"/>
      <c r="E1" s="428"/>
      <c r="F1" s="428"/>
      <c r="G1" s="434"/>
      <c r="K1" s="3"/>
      <c r="L1" s="3"/>
      <c r="M1" s="3"/>
      <c r="N1" s="3"/>
      <c r="O1" s="3"/>
      <c r="P1" s="3"/>
    </row>
    <row r="3" spans="2:20" ht="15" x14ac:dyDescent="0.2">
      <c r="B3" s="427" t="s">
        <v>337</v>
      </c>
      <c r="C3" s="427"/>
      <c r="D3" s="201"/>
      <c r="E3" s="204"/>
      <c r="F3" s="102" t="s">
        <v>37</v>
      </c>
      <c r="G3" s="202"/>
    </row>
    <row r="4" spans="2:20" ht="15" customHeight="1" x14ac:dyDescent="0.2">
      <c r="B4" s="427" t="s">
        <v>2</v>
      </c>
      <c r="C4" s="427"/>
      <c r="D4" s="201"/>
      <c r="E4" s="204"/>
      <c r="F4" s="102" t="s">
        <v>3</v>
      </c>
      <c r="G4" s="203"/>
    </row>
    <row r="5" spans="2:20" ht="15" customHeight="1" x14ac:dyDescent="0.2">
      <c r="B5" s="439" t="s">
        <v>385</v>
      </c>
      <c r="C5" s="440"/>
      <c r="D5" s="201"/>
      <c r="E5" s="204"/>
      <c r="F5" s="102" t="s">
        <v>5</v>
      </c>
      <c r="G5" s="203"/>
    </row>
    <row r="6" spans="2:20" ht="16.5" customHeight="1" x14ac:dyDescent="0.2">
      <c r="B6" s="435" t="s">
        <v>378</v>
      </c>
      <c r="C6" s="436"/>
      <c r="D6" s="294"/>
      <c r="E6" s="204"/>
    </row>
    <row r="7" spans="2:20" ht="15" x14ac:dyDescent="0.2">
      <c r="B7" s="437" t="s">
        <v>379</v>
      </c>
      <c r="C7" s="438"/>
      <c r="D7" s="294"/>
      <c r="E7" s="6"/>
      <c r="F7" s="102" t="s">
        <v>381</v>
      </c>
      <c r="G7" s="295"/>
      <c r="I7" s="4"/>
      <c r="M7" s="6"/>
    </row>
    <row r="8" spans="2:20" ht="15" x14ac:dyDescent="0.2">
      <c r="B8" s="427" t="s">
        <v>4</v>
      </c>
      <c r="C8" s="427"/>
      <c r="D8" s="200"/>
      <c r="F8" s="102" t="s">
        <v>380</v>
      </c>
      <c r="G8" s="295"/>
      <c r="I8" s="4"/>
    </row>
    <row r="9" spans="2:20" ht="16.5" customHeight="1" x14ac:dyDescent="0.2">
      <c r="B9" s="427" t="s">
        <v>512</v>
      </c>
      <c r="C9" s="429"/>
      <c r="D9" s="200"/>
      <c r="F9" s="102" t="s">
        <v>593</v>
      </c>
      <c r="G9" s="295"/>
      <c r="I9" s="4"/>
    </row>
    <row r="10" spans="2:20" ht="15" x14ac:dyDescent="0.2">
      <c r="B10" s="439" t="s">
        <v>665</v>
      </c>
      <c r="C10" s="440"/>
      <c r="D10" s="200"/>
      <c r="F10" s="327"/>
      <c r="G10" s="204"/>
      <c r="I10" s="4"/>
    </row>
    <row r="12" spans="2:20" ht="15.6" customHeight="1" x14ac:dyDescent="0.25">
      <c r="B12" s="428" t="s">
        <v>6</v>
      </c>
      <c r="C12" s="428"/>
      <c r="D12" s="428"/>
      <c r="E12" s="428"/>
      <c r="F12" s="428"/>
      <c r="G12" s="428"/>
    </row>
    <row r="13" spans="2:20" s="10" customFormat="1" ht="15.75" thickBot="1" x14ac:dyDescent="0.25">
      <c r="B13" s="18" t="s">
        <v>7</v>
      </c>
      <c r="C13" s="19" t="s">
        <v>8</v>
      </c>
      <c r="D13" s="149" t="s">
        <v>53</v>
      </c>
      <c r="E13" s="69" t="s">
        <v>10</v>
      </c>
      <c r="F13" s="18" t="s">
        <v>12</v>
      </c>
      <c r="G13" s="18" t="s">
        <v>294</v>
      </c>
      <c r="I13"/>
      <c r="J13"/>
      <c r="K13"/>
      <c r="L13"/>
      <c r="M13"/>
      <c r="N13"/>
      <c r="O13"/>
    </row>
    <row r="14" spans="2:20" ht="12.75" customHeight="1" x14ac:dyDescent="0.2">
      <c r="B14" s="15" t="s">
        <v>13</v>
      </c>
      <c r="C14" s="72" t="s">
        <v>17</v>
      </c>
      <c r="D14" s="73"/>
      <c r="E14" s="74"/>
      <c r="F14" s="156"/>
      <c r="G14" s="181"/>
      <c r="I14" s="430" t="s">
        <v>553</v>
      </c>
      <c r="J14" s="339"/>
      <c r="K14" s="339"/>
      <c r="L14" s="339"/>
      <c r="M14" s="339"/>
      <c r="N14" s="339"/>
      <c r="O14" s="339"/>
      <c r="P14" s="339"/>
      <c r="Q14" s="339"/>
      <c r="R14" s="339"/>
      <c r="S14" s="339"/>
      <c r="T14" s="339"/>
    </row>
    <row r="15" spans="2:20" ht="12.75" customHeight="1" x14ac:dyDescent="0.2">
      <c r="B15" s="16" t="s">
        <v>15</v>
      </c>
      <c r="C15" s="72" t="s">
        <v>17</v>
      </c>
      <c r="D15" s="73"/>
      <c r="E15" s="74"/>
      <c r="F15" s="156"/>
      <c r="G15" s="181"/>
      <c r="I15" s="431"/>
      <c r="J15" s="339"/>
      <c r="K15" s="339"/>
      <c r="L15" s="339"/>
      <c r="M15" s="339"/>
      <c r="N15" s="339"/>
      <c r="O15" s="339"/>
      <c r="P15" s="339"/>
      <c r="Q15" s="339"/>
      <c r="R15" s="339"/>
      <c r="S15" s="339"/>
      <c r="T15" s="339"/>
    </row>
    <row r="16" spans="2:20" ht="12.75" customHeight="1" x14ac:dyDescent="0.2">
      <c r="B16" s="15" t="s">
        <v>16</v>
      </c>
      <c r="C16" s="72" t="s">
        <v>17</v>
      </c>
      <c r="D16" s="73"/>
      <c r="E16" s="74"/>
      <c r="F16" s="156"/>
      <c r="G16" s="181"/>
      <c r="I16" s="431"/>
      <c r="J16" s="339"/>
      <c r="K16" s="339"/>
      <c r="L16" s="339"/>
      <c r="M16" s="339"/>
      <c r="N16" s="339"/>
      <c r="O16" s="339"/>
      <c r="P16" s="339"/>
      <c r="Q16" s="339"/>
      <c r="R16" s="339"/>
      <c r="S16" s="339"/>
      <c r="T16" s="339"/>
    </row>
    <row r="17" spans="2:20" ht="12.75" customHeight="1" x14ac:dyDescent="0.2">
      <c r="B17" s="16" t="s">
        <v>18</v>
      </c>
      <c r="C17" s="72" t="s">
        <v>17</v>
      </c>
      <c r="D17" s="73"/>
      <c r="E17" s="74"/>
      <c r="F17" s="156"/>
      <c r="G17" s="181"/>
      <c r="I17" s="431"/>
      <c r="J17" s="339"/>
      <c r="K17" s="339"/>
      <c r="L17" s="339"/>
      <c r="M17" s="339"/>
      <c r="N17" s="339"/>
      <c r="O17" s="339"/>
      <c r="P17" s="339"/>
      <c r="Q17" s="339"/>
      <c r="R17" s="339"/>
      <c r="S17" s="339"/>
      <c r="T17" s="339"/>
    </row>
    <row r="18" spans="2:20" x14ac:dyDescent="0.2">
      <c r="B18" s="15" t="s">
        <v>19</v>
      </c>
      <c r="C18" s="72" t="s">
        <v>17</v>
      </c>
      <c r="D18" s="73"/>
      <c r="E18" s="74"/>
      <c r="F18" s="156"/>
      <c r="G18" s="181"/>
      <c r="I18" s="431"/>
      <c r="J18" s="339"/>
      <c r="K18" s="339"/>
      <c r="L18" s="339"/>
      <c r="M18" s="339"/>
      <c r="N18" s="339"/>
      <c r="O18" s="339"/>
      <c r="P18" s="339"/>
      <c r="Q18" s="339"/>
      <c r="R18" s="339"/>
      <c r="S18" s="339"/>
      <c r="T18" s="339"/>
    </row>
    <row r="19" spans="2:20" x14ac:dyDescent="0.2">
      <c r="B19" s="16" t="s">
        <v>20</v>
      </c>
      <c r="C19" s="72" t="s">
        <v>17</v>
      </c>
      <c r="D19" s="73"/>
      <c r="E19" s="74"/>
      <c r="F19" s="156"/>
      <c r="G19" s="181"/>
      <c r="I19" s="431"/>
      <c r="J19" s="339"/>
      <c r="K19" s="339"/>
      <c r="L19" s="339"/>
      <c r="M19" s="339"/>
      <c r="N19" s="339"/>
      <c r="O19" s="339"/>
      <c r="P19" s="339"/>
      <c r="Q19" s="339"/>
      <c r="R19" s="339"/>
      <c r="S19" s="339"/>
      <c r="T19" s="339"/>
    </row>
    <row r="20" spans="2:20" x14ac:dyDescent="0.2">
      <c r="B20" s="15" t="s">
        <v>21</v>
      </c>
      <c r="C20" s="72" t="s">
        <v>17</v>
      </c>
      <c r="D20" s="73"/>
      <c r="E20" s="74"/>
      <c r="F20" s="156"/>
      <c r="G20" s="181"/>
      <c r="I20" s="431"/>
      <c r="J20" s="339"/>
      <c r="K20" s="339"/>
      <c r="L20" s="339"/>
      <c r="M20" s="339"/>
      <c r="N20" s="339"/>
      <c r="O20" s="339"/>
      <c r="P20" s="339"/>
      <c r="Q20" s="339"/>
      <c r="R20" s="339"/>
      <c r="S20" s="339"/>
      <c r="T20" s="339"/>
    </row>
    <row r="21" spans="2:20" x14ac:dyDescent="0.2">
      <c r="B21" s="16" t="s">
        <v>22</v>
      </c>
      <c r="C21" s="72" t="s">
        <v>17</v>
      </c>
      <c r="D21" s="73"/>
      <c r="E21" s="74"/>
      <c r="F21" s="156"/>
      <c r="G21" s="181"/>
      <c r="I21" s="431"/>
      <c r="J21" s="339"/>
      <c r="K21" s="339"/>
      <c r="L21" s="339"/>
      <c r="M21" s="339"/>
      <c r="N21" s="339"/>
      <c r="O21" s="339"/>
      <c r="P21" s="339"/>
      <c r="Q21" s="339"/>
      <c r="R21" s="339"/>
      <c r="S21" s="339"/>
      <c r="T21" s="339"/>
    </row>
    <row r="22" spans="2:20" x14ac:dyDescent="0.2">
      <c r="B22" s="15" t="s">
        <v>23</v>
      </c>
      <c r="C22" s="72" t="s">
        <v>17</v>
      </c>
      <c r="D22" s="76"/>
      <c r="E22" s="74"/>
      <c r="F22" s="76"/>
      <c r="G22" s="181"/>
      <c r="I22" s="431"/>
      <c r="J22" s="339"/>
      <c r="K22" s="339"/>
      <c r="L22" s="339"/>
      <c r="M22" s="339"/>
      <c r="N22" s="339"/>
      <c r="O22" s="339"/>
      <c r="P22" s="339"/>
      <c r="Q22" s="339"/>
      <c r="R22" s="339"/>
      <c r="S22" s="339"/>
      <c r="T22" s="339"/>
    </row>
    <row r="23" spans="2:20" x14ac:dyDescent="0.2">
      <c r="B23" s="15" t="s">
        <v>24</v>
      </c>
      <c r="C23" s="75" t="s">
        <v>17</v>
      </c>
      <c r="D23" s="108"/>
      <c r="E23" s="78"/>
      <c r="F23" s="77"/>
      <c r="G23" s="181"/>
      <c r="I23" s="431"/>
      <c r="J23" s="339"/>
      <c r="K23" s="339"/>
      <c r="L23" s="339"/>
      <c r="M23" s="339"/>
      <c r="N23" s="339"/>
      <c r="O23" s="339"/>
      <c r="P23" s="339"/>
      <c r="Q23" s="339"/>
      <c r="R23" s="339"/>
      <c r="S23" s="339"/>
      <c r="T23" s="339"/>
    </row>
    <row r="24" spans="2:20" x14ac:dyDescent="0.2">
      <c r="B24" s="14" t="s">
        <v>25</v>
      </c>
      <c r="C24" s="79" t="s">
        <v>17</v>
      </c>
      <c r="D24" s="108"/>
      <c r="E24" s="78"/>
      <c r="F24" s="108"/>
      <c r="G24" s="181"/>
      <c r="I24" s="431"/>
      <c r="J24" s="339"/>
      <c r="K24" s="339"/>
      <c r="L24" s="339"/>
      <c r="M24" s="339"/>
      <c r="N24" s="339"/>
      <c r="O24" s="339"/>
      <c r="P24" s="339"/>
      <c r="Q24" s="339"/>
      <c r="R24" s="339"/>
      <c r="S24" s="339"/>
      <c r="T24" s="339"/>
    </row>
    <row r="25" spans="2:20" x14ac:dyDescent="0.2">
      <c r="B25" s="14" t="s">
        <v>26</v>
      </c>
      <c r="C25" s="79" t="s">
        <v>17</v>
      </c>
      <c r="D25" s="77"/>
      <c r="E25" s="78"/>
      <c r="F25" s="77"/>
      <c r="G25" s="181"/>
      <c r="I25" s="431"/>
      <c r="J25" s="339"/>
      <c r="K25" s="339"/>
      <c r="L25" s="339"/>
      <c r="M25" s="339"/>
      <c r="N25" s="339"/>
      <c r="O25" s="339"/>
      <c r="P25" s="339"/>
      <c r="Q25" s="339"/>
      <c r="R25" s="339"/>
      <c r="S25" s="339"/>
      <c r="T25" s="339"/>
    </row>
    <row r="26" spans="2:20" x14ac:dyDescent="0.2">
      <c r="B26" s="14" t="s">
        <v>27</v>
      </c>
      <c r="C26" s="79" t="s">
        <v>17</v>
      </c>
      <c r="D26" s="77"/>
      <c r="E26" s="78"/>
      <c r="F26" s="77"/>
      <c r="G26" s="181"/>
      <c r="I26" s="431"/>
      <c r="J26" s="339"/>
      <c r="K26" s="339"/>
      <c r="L26" s="339"/>
      <c r="M26" s="339"/>
      <c r="N26" s="339"/>
      <c r="O26" s="339"/>
      <c r="P26" s="339"/>
      <c r="Q26" s="339"/>
      <c r="R26" s="339"/>
      <c r="S26" s="339"/>
      <c r="T26" s="339"/>
    </row>
    <row r="27" spans="2:20" x14ac:dyDescent="0.2">
      <c r="B27" s="14" t="s">
        <v>28</v>
      </c>
      <c r="C27" s="79" t="s">
        <v>17</v>
      </c>
      <c r="D27" s="77"/>
      <c r="E27" s="78"/>
      <c r="F27" s="77"/>
      <c r="G27" s="181"/>
      <c r="I27" s="431"/>
    </row>
    <row r="28" spans="2:20" x14ac:dyDescent="0.2">
      <c r="B28" s="14" t="s">
        <v>29</v>
      </c>
      <c r="C28" s="80" t="s">
        <v>17</v>
      </c>
      <c r="D28" s="77"/>
      <c r="E28" s="78"/>
      <c r="F28" s="77"/>
      <c r="G28" s="181"/>
      <c r="I28" s="431"/>
    </row>
    <row r="29" spans="2:20" x14ac:dyDescent="0.2">
      <c r="B29" s="14" t="s">
        <v>30</v>
      </c>
      <c r="C29" s="80" t="s">
        <v>17</v>
      </c>
      <c r="D29" s="77"/>
      <c r="E29" s="78"/>
      <c r="F29" s="77"/>
      <c r="G29" s="181"/>
      <c r="I29" s="431"/>
    </row>
    <row r="30" spans="2:20" x14ac:dyDescent="0.2">
      <c r="B30" s="14" t="s">
        <v>31</v>
      </c>
      <c r="C30" s="79" t="s">
        <v>17</v>
      </c>
      <c r="D30" s="77"/>
      <c r="E30" s="78"/>
      <c r="F30" s="77"/>
      <c r="G30" s="181"/>
      <c r="I30" s="431"/>
    </row>
    <row r="31" spans="2:20" x14ac:dyDescent="0.2">
      <c r="B31" s="14" t="s">
        <v>32</v>
      </c>
      <c r="C31" s="79" t="s">
        <v>17</v>
      </c>
      <c r="D31" s="77"/>
      <c r="E31" s="78"/>
      <c r="F31" s="77"/>
      <c r="G31" s="181"/>
      <c r="I31" s="431"/>
    </row>
    <row r="32" spans="2:20" x14ac:dyDescent="0.2">
      <c r="B32" s="14" t="s">
        <v>33</v>
      </c>
      <c r="C32" s="79" t="s">
        <v>17</v>
      </c>
      <c r="D32" s="77"/>
      <c r="E32" s="78"/>
      <c r="F32" s="77"/>
      <c r="G32" s="181"/>
      <c r="I32" s="431"/>
    </row>
    <row r="33" spans="2:9" ht="13.5" thickBot="1" x14ac:dyDescent="0.25">
      <c r="B33" s="14" t="s">
        <v>34</v>
      </c>
      <c r="C33" s="80" t="s">
        <v>17</v>
      </c>
      <c r="D33" s="77"/>
      <c r="E33" s="78"/>
      <c r="F33" s="77"/>
      <c r="G33" s="181"/>
      <c r="I33" s="432"/>
    </row>
    <row r="34" spans="2:9" x14ac:dyDescent="0.2">
      <c r="B34" t="s">
        <v>35</v>
      </c>
    </row>
    <row r="36" spans="2:9" x14ac:dyDescent="0.2">
      <c r="B36" s="6"/>
    </row>
  </sheetData>
  <sheetProtection algorithmName="SHA-512" hashValue="fY4y3wcGo1xzjCpZhAH7QIaHtr/SoUMVEqs7s2g29iwShlJg+Ix2mAT7KJiYISll6HpDVGMWKKSnWQt58Ab3Zw==" saltValue="+o/8aReOaHG3VLvvqDd+7Q==" spinCount="100000" sheet="1" objects="1" scenarios="1"/>
  <mergeCells count="11">
    <mergeCell ref="B8:C8"/>
    <mergeCell ref="B12:G12"/>
    <mergeCell ref="B9:C9"/>
    <mergeCell ref="I14:I33"/>
    <mergeCell ref="B1:G1"/>
    <mergeCell ref="B6:C6"/>
    <mergeCell ref="B7:C7"/>
    <mergeCell ref="B5:C5"/>
    <mergeCell ref="B3:C3"/>
    <mergeCell ref="B4:C4"/>
    <mergeCell ref="B10:C10"/>
  </mergeCells>
  <phoneticPr fontId="18" type="noConversion"/>
  <dataValidations count="1">
    <dataValidation type="date" operator="greaterThan" allowBlank="1" showInputMessage="1" showErrorMessage="1" errorTitle="Improper Format" error="Enter the date in a number format: MM/DD/YY. Click &quot;Cancel&quot; below to try again." sqref="G3:G5" xr:uid="{7E1770D9-6743-4D5C-B30A-AE9610BE1F55}">
      <formula1>36526</formula1>
    </dataValidation>
  </dataValidations>
  <pageMargins left="0.7" right="0.7" top="1" bottom="0.75" header="0.3" footer="0.3"/>
  <pageSetup orientation="landscape" r:id="rId1"/>
  <headerFooter>
    <oddHeader>&amp;CConfidential QI Report
San Diego County Mental Health Plan
Behavioral Health Services
Fiscal Year 23-24</oddHeader>
    <oddFooter>&amp;LFY 23-24 Medical Record Review Report - Excel - Rev. 7-1-23</oddFooter>
  </headerFooter>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16695BF7-1C3A-40B6-B67C-E043482B8EED}">
          <x14:formula1>
            <xm:f>Validations!$B$4:$B$8</xm:f>
          </x14:formula1>
          <xm:sqref>G14:G33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2AB7A-633A-4F4E-B38E-06B963134EB0}">
  <sheetPr codeName="Sheet21">
    <tabColor theme="3" tint="0.39997558519241921"/>
  </sheetPr>
  <dimension ref="A1:AE90"/>
  <sheetViews>
    <sheetView showGridLines="0" view="pageBreakPreview" topLeftCell="A3" zoomScale="92" zoomScaleNormal="80" zoomScaleSheetLayoutView="92" workbookViewId="0">
      <selection activeCell="D12" sqref="D12:N12"/>
    </sheetView>
  </sheetViews>
  <sheetFormatPr defaultColWidth="9.5703125" defaultRowHeight="15" x14ac:dyDescent="0.2"/>
  <cols>
    <col min="1" max="1" width="7.7109375" style="106" customWidth="1"/>
    <col min="2" max="2" width="8.42578125" style="4" customWidth="1"/>
    <col min="3" max="3" width="8.42578125" style="5" customWidth="1"/>
    <col min="4" max="4" width="2.5703125" style="1" customWidth="1"/>
    <col min="5" max="5" width="7.140625" style="1" customWidth="1"/>
    <col min="6" max="6" width="8.5703125" style="1" customWidth="1"/>
    <col min="7" max="7" width="6.42578125" style="1" customWidth="1"/>
    <col min="8" max="8" width="4.7109375" style="1" customWidth="1"/>
    <col min="9" max="9" width="27.28515625" style="1" customWidth="1"/>
    <col min="10" max="10" width="2.5703125" style="1" customWidth="1"/>
    <col min="11" max="11" width="18.140625" style="1" customWidth="1"/>
    <col min="12" max="12" width="3.42578125" style="1" customWidth="1"/>
    <col min="13" max="13" width="12.140625" style="1" customWidth="1"/>
    <col min="14" max="14" width="9.5703125" style="1" customWidth="1"/>
    <col min="15" max="15" width="13.28515625" style="1" customWidth="1"/>
    <col min="16" max="16" width="8.7109375" style="1" hidden="1" customWidth="1"/>
    <col min="17" max="18" width="2" style="1" customWidth="1"/>
    <col min="19" max="19" width="11.7109375" customWidth="1"/>
    <col min="20" max="20" width="10.28515625" customWidth="1"/>
    <col min="21" max="21" width="13.140625" style="1" customWidth="1"/>
    <col min="22" max="22" width="23.42578125" style="1" customWidth="1"/>
    <col min="23" max="23" width="12.42578125" style="1" customWidth="1"/>
    <col min="24" max="25" width="9.5703125" style="1"/>
    <col min="26" max="26" width="12.140625" style="1" customWidth="1"/>
    <col min="27" max="27" width="14.85546875" style="1" customWidth="1"/>
    <col min="28" max="28" width="24.5703125" style="1" customWidth="1"/>
    <col min="29" max="16384" width="9.5703125" style="1"/>
  </cols>
  <sheetData>
    <row r="1" spans="1:31" s="5" customFormat="1" ht="15.75" x14ac:dyDescent="0.25">
      <c r="A1" s="106"/>
      <c r="B1" s="4"/>
      <c r="C1" s="560" t="s">
        <v>338</v>
      </c>
      <c r="D1" s="561"/>
      <c r="E1" s="561"/>
      <c r="F1" s="561"/>
      <c r="G1" s="562"/>
      <c r="H1"/>
      <c r="I1" s="86" t="s">
        <v>38</v>
      </c>
      <c r="J1" s="153"/>
      <c r="K1" s="560" t="s">
        <v>12</v>
      </c>
      <c r="L1" s="562"/>
      <c r="N1"/>
      <c r="O1"/>
      <c r="P1"/>
      <c r="Q1"/>
      <c r="R1"/>
      <c r="S1" s="560" t="s">
        <v>260</v>
      </c>
      <c r="T1" s="561"/>
      <c r="U1" s="562"/>
      <c r="V1"/>
      <c r="W1"/>
      <c r="X1"/>
      <c r="Y1"/>
      <c r="Z1"/>
      <c r="AA1"/>
      <c r="AB1"/>
    </row>
    <row r="2" spans="1:31" s="5" customFormat="1" ht="15" customHeight="1" x14ac:dyDescent="0.2">
      <c r="A2" s="106"/>
      <c r="B2" s="4"/>
      <c r="C2" s="583">
        <f>'Chart Review Info'!D3</f>
        <v>0</v>
      </c>
      <c r="D2" s="584"/>
      <c r="E2" s="584"/>
      <c r="F2" s="584"/>
      <c r="G2" s="585"/>
      <c r="H2"/>
      <c r="I2" s="150">
        <f>'Chart Review Info'!D4</f>
        <v>0</v>
      </c>
      <c r="J2" s="153"/>
      <c r="K2" s="592">
        <f>'Chart Review Info'!F32</f>
        <v>0</v>
      </c>
      <c r="L2" s="591"/>
      <c r="N2"/>
      <c r="O2"/>
      <c r="P2"/>
      <c r="Q2"/>
      <c r="R2"/>
      <c r="S2" s="55">
        <f>'Chart Review Info'!G4</f>
        <v>0</v>
      </c>
      <c r="T2" s="82" t="s">
        <v>261</v>
      </c>
      <c r="U2" s="83">
        <f>'Chart Review Info'!G5</f>
        <v>0</v>
      </c>
      <c r="V2"/>
      <c r="W2"/>
      <c r="X2"/>
      <c r="Y2"/>
      <c r="Z2"/>
      <c r="AA2"/>
      <c r="AB2"/>
    </row>
    <row r="3" spans="1:31" s="5" customFormat="1" x14ac:dyDescent="0.2">
      <c r="A3" s="106"/>
      <c r="B3" s="4"/>
      <c r="C3" s="84"/>
      <c r="H3"/>
      <c r="J3" s="98"/>
      <c r="V3"/>
      <c r="W3"/>
      <c r="X3"/>
      <c r="Y3"/>
      <c r="Z3"/>
      <c r="AA3"/>
      <c r="AB3"/>
    </row>
    <row r="4" spans="1:31" s="5" customFormat="1" ht="15.75" x14ac:dyDescent="0.25">
      <c r="A4" s="106"/>
      <c r="B4" s="4"/>
      <c r="C4" s="85" t="s">
        <v>202</v>
      </c>
      <c r="E4" s="85" t="s">
        <v>86</v>
      </c>
      <c r="F4" s="86"/>
      <c r="G4" s="85"/>
      <c r="H4"/>
      <c r="I4" s="151" t="s">
        <v>350</v>
      </c>
      <c r="J4" s="98"/>
      <c r="K4" s="87" t="s">
        <v>260</v>
      </c>
      <c r="L4" s="88"/>
      <c r="O4" s="86" t="s">
        <v>294</v>
      </c>
      <c r="P4"/>
      <c r="Q4"/>
      <c r="R4"/>
      <c r="S4" s="85" t="s">
        <v>12</v>
      </c>
      <c r="T4" s="563">
        <f>Prog_1</f>
        <v>0</v>
      </c>
      <c r="U4" s="564"/>
      <c r="V4"/>
      <c r="W4"/>
      <c r="X4"/>
      <c r="Y4"/>
      <c r="Z4"/>
      <c r="AA4"/>
      <c r="AB4"/>
    </row>
    <row r="5" spans="1:31" s="5" customFormat="1" x14ac:dyDescent="0.2">
      <c r="A5" s="106"/>
      <c r="B5" s="4"/>
      <c r="C5" s="54">
        <v>19</v>
      </c>
      <c r="E5" s="589" t="str">
        <f>'Chart Review Info'!C32</f>
        <v>N/A</v>
      </c>
      <c r="F5" s="590"/>
      <c r="G5" s="591"/>
      <c r="H5"/>
      <c r="I5" s="152">
        <f>Consum_19</f>
        <v>0</v>
      </c>
      <c r="J5" s="98"/>
      <c r="K5" s="293">
        <f>'Chart Review Info'!G4</f>
        <v>0</v>
      </c>
      <c r="L5" s="102" t="s">
        <v>261</v>
      </c>
      <c r="M5" s="293">
        <f>'Chart Review Info'!G5</f>
        <v>0</v>
      </c>
      <c r="O5" s="54">
        <f>'Chart Review Info'!G32</f>
        <v>0</v>
      </c>
      <c r="P5"/>
      <c r="Q5"/>
      <c r="R5"/>
      <c r="S5"/>
      <c r="T5"/>
      <c r="V5"/>
      <c r="W5"/>
      <c r="X5"/>
      <c r="Y5" s="6" t="s">
        <v>514</v>
      </c>
      <c r="Z5"/>
      <c r="AA5"/>
      <c r="AB5"/>
    </row>
    <row r="6" spans="1:31" x14ac:dyDescent="0.2">
      <c r="C6" s="154"/>
      <c r="D6" s="158"/>
      <c r="E6" s="155"/>
      <c r="F6" s="155"/>
      <c r="G6" s="155"/>
      <c r="H6" s="155"/>
      <c r="I6" s="155"/>
      <c r="J6" s="155"/>
      <c r="K6" s="155"/>
      <c r="L6" s="155"/>
      <c r="M6" s="155"/>
      <c r="N6" s="155"/>
      <c r="O6" s="155"/>
      <c r="P6" s="155"/>
      <c r="Q6" s="155"/>
      <c r="R6" s="155"/>
      <c r="T6" s="1"/>
      <c r="W6" s="51"/>
      <c r="Y6" s="329">
        <f>SUM(Y9:Y16)</f>
        <v>0</v>
      </c>
      <c r="AA6" s="13"/>
      <c r="AB6" s="13"/>
    </row>
    <row r="7" spans="1:31" ht="23.25" x14ac:dyDescent="0.25">
      <c r="C7" s="89" t="s">
        <v>262</v>
      </c>
      <c r="D7" s="159"/>
      <c r="E7" s="90"/>
      <c r="F7" s="90"/>
      <c r="G7" s="90"/>
      <c r="H7" s="90"/>
      <c r="I7" s="90"/>
      <c r="J7" s="90"/>
      <c r="K7" s="90"/>
      <c r="L7" s="90"/>
      <c r="M7" s="90"/>
      <c r="N7" s="90"/>
      <c r="O7" s="90"/>
      <c r="P7" s="90"/>
      <c r="S7" s="20"/>
      <c r="T7" s="21"/>
      <c r="U7" s="21"/>
      <c r="V7" s="21"/>
      <c r="W7" s="21"/>
      <c r="X7" s="160" t="s">
        <v>263</v>
      </c>
      <c r="Y7" s="160"/>
      <c r="Z7" s="160"/>
      <c r="AA7" s="22"/>
      <c r="AB7" s="23"/>
    </row>
    <row r="8" spans="1:31" ht="27" customHeight="1" x14ac:dyDescent="0.25">
      <c r="C8" s="91" t="s">
        <v>264</v>
      </c>
      <c r="D8" s="588" t="s">
        <v>68</v>
      </c>
      <c r="E8" s="574"/>
      <c r="F8" s="574"/>
      <c r="G8" s="574"/>
      <c r="H8" s="574"/>
      <c r="I8" s="574"/>
      <c r="J8" s="574"/>
      <c r="K8" s="574"/>
      <c r="L8" s="574"/>
      <c r="M8" s="574"/>
      <c r="N8" s="574"/>
      <c r="O8" s="92" t="s">
        <v>265</v>
      </c>
      <c r="P8" s="92" t="s">
        <v>266</v>
      </c>
      <c r="Q8" s="359"/>
      <c r="R8" s="351"/>
      <c r="S8" s="7" t="s">
        <v>449</v>
      </c>
      <c r="T8" s="9" t="s">
        <v>87</v>
      </c>
      <c r="U8" s="7" t="s">
        <v>88</v>
      </c>
      <c r="V8" s="7" t="s">
        <v>89</v>
      </c>
      <c r="W8" s="7" t="s">
        <v>90</v>
      </c>
      <c r="X8" s="7" t="s">
        <v>644</v>
      </c>
      <c r="Y8" s="8" t="s">
        <v>201</v>
      </c>
      <c r="Z8" s="116" t="s">
        <v>91</v>
      </c>
      <c r="AA8" s="117" t="s">
        <v>95</v>
      </c>
      <c r="AB8" s="117" t="s">
        <v>92</v>
      </c>
    </row>
    <row r="9" spans="1:31" ht="60" customHeight="1" x14ac:dyDescent="0.2">
      <c r="A9" s="212" t="s">
        <v>73</v>
      </c>
      <c r="B9" s="93"/>
      <c r="C9" s="94" t="s">
        <v>204</v>
      </c>
      <c r="D9" s="567" t="s">
        <v>658</v>
      </c>
      <c r="E9" s="470"/>
      <c r="F9" s="470"/>
      <c r="G9" s="470"/>
      <c r="H9" s="470"/>
      <c r="I9" s="470"/>
      <c r="J9" s="470"/>
      <c r="K9" s="470"/>
      <c r="L9" s="470"/>
      <c r="M9" s="470"/>
      <c r="N9" s="471"/>
      <c r="O9" s="71"/>
      <c r="P9" s="95" t="str">
        <f t="shared" ref="P9:P12" si="0">IF(O9="","",IF(O9="Yes","Pass",IF(O9="No","Fail","N/A")))</f>
        <v/>
      </c>
      <c r="Q9" s="173"/>
      <c r="R9" s="173"/>
      <c r="S9" s="124"/>
      <c r="T9" s="125"/>
      <c r="U9" s="125"/>
      <c r="V9" s="125"/>
      <c r="W9" s="126"/>
      <c r="X9" s="125"/>
      <c r="Y9" s="127"/>
      <c r="Z9" s="128"/>
      <c r="AA9" s="129"/>
      <c r="AB9" s="130"/>
      <c r="AC9" s="96"/>
      <c r="AD9" s="96"/>
      <c r="AE9" s="96"/>
    </row>
    <row r="10" spans="1:31" ht="87" customHeight="1" x14ac:dyDescent="0.2">
      <c r="A10" s="107">
        <v>1</v>
      </c>
      <c r="B10" s="93"/>
      <c r="C10" s="94" t="s">
        <v>205</v>
      </c>
      <c r="D10" s="567" t="s">
        <v>528</v>
      </c>
      <c r="E10" s="586"/>
      <c r="F10" s="586"/>
      <c r="G10" s="586"/>
      <c r="H10" s="586"/>
      <c r="I10" s="586"/>
      <c r="J10" s="586"/>
      <c r="K10" s="586"/>
      <c r="L10" s="586"/>
      <c r="M10" s="586"/>
      <c r="N10" s="587"/>
      <c r="O10" s="71"/>
      <c r="P10" s="95" t="str">
        <f t="shared" si="0"/>
        <v/>
      </c>
      <c r="Q10" s="173"/>
      <c r="R10" s="173"/>
      <c r="S10" s="124"/>
      <c r="T10" s="124"/>
      <c r="U10" s="124"/>
      <c r="V10" s="125"/>
      <c r="W10" s="131"/>
      <c r="X10" s="124"/>
      <c r="Y10" s="127"/>
      <c r="Z10" s="128"/>
      <c r="AA10" s="129"/>
      <c r="AB10" s="129"/>
    </row>
    <row r="11" spans="1:31" ht="50.25" customHeight="1" x14ac:dyDescent="0.2">
      <c r="A11" s="107" t="s">
        <v>70</v>
      </c>
      <c r="B11" s="93"/>
      <c r="C11" s="94" t="s">
        <v>206</v>
      </c>
      <c r="D11" s="567" t="s">
        <v>529</v>
      </c>
      <c r="E11" s="586"/>
      <c r="F11" s="586"/>
      <c r="G11" s="586"/>
      <c r="H11" s="586"/>
      <c r="I11" s="586"/>
      <c r="J11" s="586"/>
      <c r="K11" s="586"/>
      <c r="L11" s="586"/>
      <c r="M11" s="586"/>
      <c r="N11" s="587"/>
      <c r="O11" s="71"/>
      <c r="P11" s="95" t="str">
        <f t="shared" si="0"/>
        <v/>
      </c>
      <c r="Q11" s="173"/>
      <c r="R11" s="173"/>
      <c r="S11" s="124"/>
      <c r="T11" s="124"/>
      <c r="U11" s="124"/>
      <c r="V11" s="125"/>
      <c r="W11" s="131"/>
      <c r="X11" s="124"/>
      <c r="Y11" s="127"/>
      <c r="Z11" s="128"/>
      <c r="AA11" s="129"/>
      <c r="AB11" s="129"/>
    </row>
    <row r="12" spans="1:31" ht="33.75" customHeight="1" x14ac:dyDescent="0.2">
      <c r="A12" s="106">
        <v>1</v>
      </c>
      <c r="C12" s="94" t="s">
        <v>207</v>
      </c>
      <c r="D12" s="567" t="s">
        <v>659</v>
      </c>
      <c r="E12" s="586"/>
      <c r="F12" s="586"/>
      <c r="G12" s="586"/>
      <c r="H12" s="586"/>
      <c r="I12" s="586"/>
      <c r="J12" s="586"/>
      <c r="K12" s="586"/>
      <c r="L12" s="586"/>
      <c r="M12" s="586"/>
      <c r="N12" s="587"/>
      <c r="O12" s="71"/>
      <c r="P12" s="95" t="str">
        <f t="shared" si="0"/>
        <v/>
      </c>
      <c r="Q12" s="173"/>
      <c r="R12" s="173"/>
      <c r="S12" s="124"/>
      <c r="T12" s="124"/>
      <c r="U12" s="124"/>
      <c r="V12" s="125"/>
      <c r="W12" s="131"/>
      <c r="X12" s="124"/>
      <c r="Y12" s="127"/>
      <c r="Z12" s="128"/>
      <c r="AA12" s="129"/>
      <c r="AB12" s="129"/>
    </row>
    <row r="13" spans="1:31" ht="36" customHeight="1" x14ac:dyDescent="0.2">
      <c r="A13" s="107">
        <v>1</v>
      </c>
      <c r="B13" s="93"/>
      <c r="C13" s="97" t="s">
        <v>208</v>
      </c>
      <c r="D13" s="567" t="s">
        <v>656</v>
      </c>
      <c r="E13" s="470"/>
      <c r="F13" s="470"/>
      <c r="G13" s="470"/>
      <c r="H13" s="470"/>
      <c r="I13" s="470"/>
      <c r="J13" s="470"/>
      <c r="K13" s="470"/>
      <c r="L13" s="470"/>
      <c r="M13" s="470"/>
      <c r="N13" s="471"/>
      <c r="O13" s="71"/>
      <c r="P13" s="95" t="str">
        <f t="shared" ref="P13:P19" si="1">IF(O13="","",IF(O13="Yes","Pass",IF(O13="No","Fail","N/A")))</f>
        <v/>
      </c>
      <c r="Q13" s="173"/>
      <c r="R13" s="173"/>
      <c r="S13" s="124"/>
      <c r="T13" s="124"/>
      <c r="U13" s="124"/>
      <c r="V13" s="125"/>
      <c r="W13" s="131"/>
      <c r="X13" s="124"/>
      <c r="Y13" s="127"/>
      <c r="Z13" s="128"/>
      <c r="AA13" s="129"/>
      <c r="AB13" s="129"/>
    </row>
    <row r="14" spans="1:31" ht="46.5" customHeight="1" x14ac:dyDescent="0.2">
      <c r="A14" s="107" t="s">
        <v>70</v>
      </c>
      <c r="B14" s="93"/>
      <c r="C14" s="97" t="s">
        <v>209</v>
      </c>
      <c r="D14" s="567" t="s">
        <v>530</v>
      </c>
      <c r="E14" s="586"/>
      <c r="F14" s="586"/>
      <c r="G14" s="586"/>
      <c r="H14" s="586"/>
      <c r="I14" s="586"/>
      <c r="J14" s="586"/>
      <c r="K14" s="586"/>
      <c r="L14" s="586"/>
      <c r="M14" s="586"/>
      <c r="N14" s="587"/>
      <c r="O14" s="71"/>
      <c r="P14" s="95" t="str">
        <f t="shared" si="1"/>
        <v/>
      </c>
      <c r="Q14" s="173"/>
      <c r="R14" s="173"/>
      <c r="S14" s="124"/>
      <c r="T14" s="124"/>
      <c r="U14" s="124"/>
      <c r="V14" s="125"/>
      <c r="W14" s="131"/>
      <c r="X14" s="124"/>
      <c r="Y14" s="127"/>
      <c r="Z14" s="128"/>
      <c r="AA14" s="129"/>
      <c r="AB14" s="129"/>
    </row>
    <row r="15" spans="1:31" ht="49.5" customHeight="1" x14ac:dyDescent="0.2">
      <c r="A15" s="107">
        <v>1</v>
      </c>
      <c r="B15" s="93"/>
      <c r="C15" s="94" t="s">
        <v>210</v>
      </c>
      <c r="D15" s="567" t="s">
        <v>531</v>
      </c>
      <c r="E15" s="586"/>
      <c r="F15" s="586"/>
      <c r="G15" s="586"/>
      <c r="H15" s="586"/>
      <c r="I15" s="586"/>
      <c r="J15" s="586"/>
      <c r="K15" s="586"/>
      <c r="L15" s="586"/>
      <c r="M15" s="586"/>
      <c r="N15" s="587"/>
      <c r="O15" s="71"/>
      <c r="P15" s="95" t="str">
        <f t="shared" si="1"/>
        <v/>
      </c>
      <c r="Q15" s="173"/>
      <c r="R15" s="173"/>
      <c r="S15" s="124"/>
      <c r="T15" s="124"/>
      <c r="U15" s="124"/>
      <c r="V15" s="125"/>
      <c r="W15" s="131"/>
      <c r="X15" s="124"/>
      <c r="Y15" s="127"/>
      <c r="Z15" s="128"/>
      <c r="AA15" s="129"/>
      <c r="AB15" s="129"/>
    </row>
    <row r="16" spans="1:31" ht="66.75" customHeight="1" x14ac:dyDescent="0.2">
      <c r="A16" s="106">
        <v>1</v>
      </c>
      <c r="C16" s="97" t="s">
        <v>211</v>
      </c>
      <c r="D16" s="567" t="s">
        <v>532</v>
      </c>
      <c r="E16" s="586"/>
      <c r="F16" s="586"/>
      <c r="G16" s="586"/>
      <c r="H16" s="586"/>
      <c r="I16" s="586"/>
      <c r="J16" s="586"/>
      <c r="K16" s="586"/>
      <c r="L16" s="586"/>
      <c r="M16" s="586"/>
      <c r="N16" s="587"/>
      <c r="O16" s="71"/>
      <c r="P16" s="95" t="str">
        <f t="shared" si="1"/>
        <v/>
      </c>
      <c r="Q16" s="173"/>
      <c r="R16" s="173"/>
      <c r="S16" s="124"/>
      <c r="T16" s="124"/>
      <c r="U16" s="124"/>
      <c r="V16" s="125"/>
      <c r="W16" s="131"/>
      <c r="X16" s="124"/>
      <c r="Y16" s="127"/>
      <c r="Z16" s="128"/>
      <c r="AA16" s="129"/>
      <c r="AB16" s="129"/>
    </row>
    <row r="17" spans="1:28" ht="39" customHeight="1" x14ac:dyDescent="0.2">
      <c r="A17" s="107" t="s">
        <v>70</v>
      </c>
      <c r="B17" s="93"/>
      <c r="C17" s="97" t="s">
        <v>212</v>
      </c>
      <c r="D17" s="567" t="s">
        <v>533</v>
      </c>
      <c r="E17" s="586"/>
      <c r="F17" s="586"/>
      <c r="G17" s="586"/>
      <c r="H17" s="586"/>
      <c r="I17" s="586"/>
      <c r="J17" s="586"/>
      <c r="K17" s="586"/>
      <c r="L17" s="586"/>
      <c r="M17" s="586"/>
      <c r="N17" s="587"/>
      <c r="O17" s="71"/>
      <c r="P17" s="95" t="str">
        <f t="shared" si="1"/>
        <v/>
      </c>
      <c r="Q17" s="173"/>
      <c r="R17" s="173"/>
      <c r="S17" s="124"/>
      <c r="T17" s="124"/>
      <c r="U17" s="124"/>
      <c r="V17" s="125"/>
      <c r="W17" s="131"/>
      <c r="X17" s="124"/>
      <c r="Y17" s="127"/>
      <c r="Z17" s="128"/>
      <c r="AA17" s="129"/>
      <c r="AB17" s="129"/>
    </row>
    <row r="18" spans="1:28" ht="83.25" customHeight="1" x14ac:dyDescent="0.2">
      <c r="A18" s="107" t="s">
        <v>70</v>
      </c>
      <c r="B18" s="93"/>
      <c r="C18" s="94" t="s">
        <v>657</v>
      </c>
      <c r="D18" s="567" t="s">
        <v>534</v>
      </c>
      <c r="E18" s="586"/>
      <c r="F18" s="586"/>
      <c r="G18" s="586"/>
      <c r="H18" s="586"/>
      <c r="I18" s="586"/>
      <c r="J18" s="586"/>
      <c r="K18" s="586"/>
      <c r="L18" s="586"/>
      <c r="M18" s="586"/>
      <c r="N18" s="587"/>
      <c r="O18" s="71"/>
      <c r="P18" s="95" t="str">
        <f t="shared" si="1"/>
        <v/>
      </c>
      <c r="Q18" s="173"/>
      <c r="R18" s="173"/>
      <c r="S18" s="124"/>
      <c r="T18" s="124"/>
      <c r="U18" s="124"/>
      <c r="V18" s="125"/>
      <c r="W18" s="131"/>
      <c r="X18" s="124"/>
      <c r="Y18" s="127"/>
      <c r="Z18" s="128"/>
      <c r="AA18" s="129"/>
      <c r="AB18" s="129"/>
    </row>
    <row r="19" spans="1:28" ht="47.25" customHeight="1" x14ac:dyDescent="0.2">
      <c r="A19" s="107" t="s">
        <v>81</v>
      </c>
      <c r="B19" s="93"/>
      <c r="C19" s="391" t="s">
        <v>213</v>
      </c>
      <c r="D19" s="571" t="s">
        <v>535</v>
      </c>
      <c r="E19" s="572"/>
      <c r="F19" s="572"/>
      <c r="G19" s="572"/>
      <c r="H19" s="572"/>
      <c r="I19" s="572"/>
      <c r="J19" s="572"/>
      <c r="K19" s="572"/>
      <c r="L19" s="572"/>
      <c r="M19" s="572"/>
      <c r="N19" s="572"/>
      <c r="O19" s="71"/>
      <c r="P19" s="95" t="str">
        <f t="shared" si="1"/>
        <v/>
      </c>
      <c r="Q19" s="173"/>
      <c r="R19" s="173"/>
      <c r="S19" s="124"/>
      <c r="T19" s="124"/>
      <c r="U19" s="124"/>
      <c r="V19" s="125"/>
      <c r="W19" s="131"/>
      <c r="X19" s="124"/>
      <c r="Y19" s="127"/>
      <c r="Z19" s="128"/>
      <c r="AA19" s="129"/>
      <c r="AB19" s="129"/>
    </row>
    <row r="20" spans="1:28" ht="22.5" customHeight="1" x14ac:dyDescent="0.2">
      <c r="A20" s="106">
        <v>1</v>
      </c>
      <c r="B20" s="93"/>
      <c r="C20" s="575" t="s">
        <v>267</v>
      </c>
      <c r="D20" s="470"/>
      <c r="E20" s="470"/>
      <c r="F20" s="470"/>
      <c r="G20" s="470"/>
      <c r="H20" s="470"/>
      <c r="I20" s="470"/>
      <c r="J20" s="470"/>
      <c r="K20" s="470"/>
      <c r="L20" s="470"/>
      <c r="M20" s="470"/>
      <c r="N20" s="470"/>
      <c r="O20"/>
      <c r="P20" s="392"/>
      <c r="Q20" s="174"/>
      <c r="R20" s="174"/>
      <c r="S20" s="124"/>
      <c r="T20" s="124"/>
      <c r="U20" s="124"/>
      <c r="V20" s="125"/>
      <c r="W20" s="131"/>
      <c r="X20" s="124"/>
      <c r="Y20" s="127"/>
      <c r="Z20" s="128"/>
      <c r="AA20" s="129"/>
      <c r="AB20" s="129"/>
    </row>
    <row r="21" spans="1:28" ht="30.75" customHeight="1" x14ac:dyDescent="0.2">
      <c r="A21" s="107" t="s">
        <v>73</v>
      </c>
      <c r="C21" s="581" t="s">
        <v>17</v>
      </c>
      <c r="D21" s="470"/>
      <c r="E21" s="470"/>
      <c r="F21" s="470"/>
      <c r="G21" s="470"/>
      <c r="H21" s="470"/>
      <c r="I21" s="470"/>
      <c r="J21" s="470"/>
      <c r="K21" s="470"/>
      <c r="L21" s="470"/>
      <c r="M21" s="470"/>
      <c r="N21" s="471"/>
      <c r="O21" s="345"/>
      <c r="P21" s="343"/>
      <c r="Q21" s="172"/>
      <c r="R21" s="172"/>
      <c r="S21" s="124"/>
      <c r="T21" s="124"/>
      <c r="U21" s="124"/>
      <c r="V21" s="125"/>
      <c r="W21" s="131"/>
      <c r="X21" s="124"/>
      <c r="Y21" s="132"/>
      <c r="Z21" s="128"/>
      <c r="AA21" s="129"/>
      <c r="AB21" s="129"/>
    </row>
    <row r="22" spans="1:28" ht="18" customHeight="1" x14ac:dyDescent="0.25">
      <c r="C22" s="100" t="s">
        <v>264</v>
      </c>
      <c r="D22" s="573" t="s">
        <v>71</v>
      </c>
      <c r="E22" s="574"/>
      <c r="F22" s="574"/>
      <c r="G22" s="574"/>
      <c r="H22" s="574"/>
      <c r="I22" s="574"/>
      <c r="J22" s="574"/>
      <c r="K22" s="574"/>
      <c r="L22" s="574"/>
      <c r="M22" s="574"/>
      <c r="N22" s="440"/>
      <c r="O22" s="101" t="s">
        <v>265</v>
      </c>
      <c r="P22" s="101" t="s">
        <v>266</v>
      </c>
      <c r="Q22" s="359"/>
      <c r="R22" s="175"/>
      <c r="S22" s="124"/>
      <c r="T22" s="124"/>
      <c r="U22" s="124"/>
      <c r="V22" s="125"/>
      <c r="W22" s="131"/>
      <c r="X22" s="124"/>
      <c r="Y22" s="127"/>
      <c r="Z22" s="128"/>
      <c r="AA22" s="129"/>
      <c r="AB22" s="129"/>
    </row>
    <row r="23" spans="1:28" ht="18" customHeight="1" x14ac:dyDescent="0.2">
      <c r="A23" s="106">
        <v>1</v>
      </c>
      <c r="C23" s="102" t="s">
        <v>215</v>
      </c>
      <c r="D23" s="567" t="s">
        <v>268</v>
      </c>
      <c r="E23" s="470"/>
      <c r="F23" s="470"/>
      <c r="G23" s="470"/>
      <c r="H23" s="470"/>
      <c r="I23" s="470"/>
      <c r="J23" s="470"/>
      <c r="K23" s="470"/>
      <c r="L23" s="470"/>
      <c r="M23" s="470"/>
      <c r="N23" s="471"/>
      <c r="O23" s="71"/>
      <c r="P23" s="95" t="str">
        <f>IF(O23="","",IF(O23="Yes","Pass",IF(O23="No","Fail","N/A")))</f>
        <v/>
      </c>
      <c r="Q23" s="173"/>
      <c r="R23" s="173"/>
      <c r="S23" s="124"/>
      <c r="T23" s="124"/>
      <c r="U23" s="124"/>
      <c r="V23" s="125"/>
      <c r="W23" s="131"/>
      <c r="X23" s="124"/>
      <c r="Y23" s="127"/>
      <c r="Z23" s="128"/>
      <c r="AA23" s="129"/>
      <c r="AB23" s="129"/>
    </row>
    <row r="24" spans="1:28" ht="45" customHeight="1" x14ac:dyDescent="0.2">
      <c r="A24" s="107" t="s">
        <v>69</v>
      </c>
      <c r="C24" s="97" t="s">
        <v>216</v>
      </c>
      <c r="D24" s="567" t="s">
        <v>269</v>
      </c>
      <c r="E24" s="470"/>
      <c r="F24" s="470"/>
      <c r="G24" s="470"/>
      <c r="H24" s="470"/>
      <c r="I24" s="470"/>
      <c r="J24" s="470"/>
      <c r="K24" s="470"/>
      <c r="L24" s="470"/>
      <c r="M24" s="470"/>
      <c r="N24" s="471"/>
      <c r="O24" s="71"/>
      <c r="P24" s="95" t="str">
        <f>IF(O24="","",IF(O24="Yes","Pass",IF(O24="No","Fail","N/A")))</f>
        <v/>
      </c>
      <c r="Q24" s="173"/>
      <c r="R24" s="173"/>
      <c r="S24" s="124"/>
      <c r="T24" s="124"/>
      <c r="U24" s="124"/>
      <c r="V24" s="125"/>
      <c r="W24" s="131"/>
      <c r="X24" s="124"/>
      <c r="Y24" s="127"/>
      <c r="Z24" s="128"/>
      <c r="AA24" s="129"/>
      <c r="AB24" s="129"/>
    </row>
    <row r="25" spans="1:28" ht="45" customHeight="1" x14ac:dyDescent="0.2">
      <c r="A25" s="107" t="s">
        <v>69</v>
      </c>
      <c r="B25" s="93"/>
      <c r="C25" s="97" t="s">
        <v>217</v>
      </c>
      <c r="D25" s="567" t="s">
        <v>270</v>
      </c>
      <c r="E25" s="470"/>
      <c r="F25" s="470"/>
      <c r="G25" s="470"/>
      <c r="H25" s="470"/>
      <c r="I25" s="470"/>
      <c r="J25" s="470"/>
      <c r="K25" s="470"/>
      <c r="L25" s="470"/>
      <c r="M25" s="470"/>
      <c r="N25" s="471"/>
      <c r="O25" s="71"/>
      <c r="P25" s="95" t="str">
        <f>IF(O25="","",IF(O25="Yes","Pass",IF(O25="No","Fail","N/A")))</f>
        <v/>
      </c>
      <c r="Q25" s="173"/>
      <c r="R25" s="173"/>
      <c r="S25" s="124"/>
      <c r="T25" s="124"/>
      <c r="U25" s="124"/>
      <c r="V25" s="125"/>
      <c r="W25" s="131"/>
      <c r="X25" s="124"/>
      <c r="Y25" s="127"/>
      <c r="Z25" s="128"/>
      <c r="AA25" s="129"/>
      <c r="AB25" s="129"/>
    </row>
    <row r="26" spans="1:28" ht="51.75" customHeight="1" x14ac:dyDescent="0.2">
      <c r="A26" s="107" t="s">
        <v>69</v>
      </c>
      <c r="B26" s="93"/>
      <c r="C26" s="97" t="s">
        <v>218</v>
      </c>
      <c r="D26" s="567" t="s">
        <v>271</v>
      </c>
      <c r="E26" s="470"/>
      <c r="F26" s="470"/>
      <c r="G26" s="470"/>
      <c r="H26" s="470"/>
      <c r="I26" s="470"/>
      <c r="J26" s="470"/>
      <c r="K26" s="470"/>
      <c r="L26" s="470"/>
      <c r="M26" s="470"/>
      <c r="N26" s="470"/>
      <c r="O26" s="71"/>
      <c r="P26" s="95" t="str">
        <f>IF(O26="","",IF(O26="Yes","Pass",IF(O26="No","Fail","N/A")))</f>
        <v/>
      </c>
      <c r="Q26" s="173"/>
      <c r="R26" s="173"/>
      <c r="S26" s="124"/>
      <c r="T26" s="124"/>
      <c r="U26" s="124"/>
      <c r="V26" s="125"/>
      <c r="W26" s="131"/>
      <c r="X26" s="124"/>
      <c r="Y26" s="127"/>
      <c r="Z26" s="128"/>
      <c r="AA26" s="129"/>
      <c r="AB26" s="129"/>
    </row>
    <row r="27" spans="1:28" ht="22.5" customHeight="1" x14ac:dyDescent="0.2">
      <c r="A27" s="106">
        <v>1</v>
      </c>
      <c r="B27" s="93"/>
      <c r="C27" s="580" t="s">
        <v>272</v>
      </c>
      <c r="D27" s="470"/>
      <c r="E27" s="470"/>
      <c r="F27" s="470"/>
      <c r="G27" s="470"/>
      <c r="H27" s="470"/>
      <c r="I27" s="470"/>
      <c r="J27" s="470"/>
      <c r="K27" s="470"/>
      <c r="L27" s="470"/>
      <c r="M27" s="470"/>
      <c r="N27" s="470"/>
      <c r="O27" s="341"/>
      <c r="Q27" s="123"/>
      <c r="R27" s="123"/>
      <c r="S27" s="124"/>
      <c r="T27" s="124"/>
      <c r="U27" s="124"/>
      <c r="V27" s="125"/>
      <c r="W27" s="131"/>
      <c r="X27" s="124"/>
      <c r="Y27" s="127"/>
      <c r="Z27" s="128"/>
      <c r="AA27" s="129"/>
      <c r="AB27" s="129"/>
    </row>
    <row r="28" spans="1:28" ht="29.25" customHeight="1" x14ac:dyDescent="0.2">
      <c r="A28" s="107" t="s">
        <v>73</v>
      </c>
      <c r="C28" s="581" t="s">
        <v>17</v>
      </c>
      <c r="D28" s="470"/>
      <c r="E28" s="470"/>
      <c r="F28" s="470"/>
      <c r="G28" s="470"/>
      <c r="H28" s="470"/>
      <c r="I28" s="470"/>
      <c r="J28" s="470"/>
      <c r="K28" s="470"/>
      <c r="L28" s="470"/>
      <c r="M28" s="470"/>
      <c r="N28" s="470"/>
      <c r="O28" s="345"/>
      <c r="P28" s="340"/>
      <c r="Q28" s="123"/>
      <c r="R28" s="123"/>
      <c r="S28" s="124"/>
      <c r="T28" s="124"/>
      <c r="U28" s="124"/>
      <c r="V28" s="125"/>
      <c r="W28" s="131"/>
      <c r="X28" s="133"/>
      <c r="Y28" s="132"/>
      <c r="Z28" s="128"/>
      <c r="AA28" s="129"/>
      <c r="AB28" s="129"/>
    </row>
    <row r="29" spans="1:28" ht="24" customHeight="1" x14ac:dyDescent="0.25">
      <c r="C29" s="100" t="s">
        <v>264</v>
      </c>
      <c r="D29" s="573" t="s">
        <v>465</v>
      </c>
      <c r="E29" s="574"/>
      <c r="F29" s="574"/>
      <c r="G29" s="574"/>
      <c r="H29" s="574"/>
      <c r="I29" s="574"/>
      <c r="J29" s="574"/>
      <c r="K29" s="574"/>
      <c r="L29" s="574"/>
      <c r="M29" s="574"/>
      <c r="N29" s="574"/>
      <c r="O29" s="101" t="s">
        <v>265</v>
      </c>
      <c r="P29" s="101" t="s">
        <v>266</v>
      </c>
      <c r="Q29" s="359"/>
      <c r="R29" s="175"/>
      <c r="S29" s="124"/>
      <c r="T29" s="124"/>
      <c r="U29" s="124"/>
      <c r="V29" s="125"/>
      <c r="W29" s="131"/>
      <c r="X29" s="133"/>
      <c r="Y29" s="132"/>
      <c r="Z29" s="128"/>
      <c r="AA29" s="129"/>
      <c r="AB29" s="129"/>
    </row>
    <row r="30" spans="1:28" ht="66" customHeight="1" x14ac:dyDescent="0.2">
      <c r="A30" s="107" t="s">
        <v>69</v>
      </c>
      <c r="C30" s="102" t="s">
        <v>466</v>
      </c>
      <c r="D30" s="567" t="s">
        <v>467</v>
      </c>
      <c r="E30" s="572"/>
      <c r="F30" s="572"/>
      <c r="G30" s="572"/>
      <c r="H30" s="572"/>
      <c r="I30" s="572"/>
      <c r="J30" s="572"/>
      <c r="K30" s="572"/>
      <c r="L30" s="572"/>
      <c r="M30" s="572"/>
      <c r="N30" s="572"/>
      <c r="O30" s="71"/>
      <c r="P30" s="95" t="str">
        <f t="shared" ref="P30:P31" si="2">IF(O30="","",IF(O30="Yes","Pass",IF(O30="No","Fail","N/A")))</f>
        <v/>
      </c>
      <c r="Q30" s="173"/>
      <c r="R30" s="173"/>
      <c r="S30" s="124"/>
      <c r="T30" s="124"/>
      <c r="U30" s="124"/>
      <c r="V30" s="125"/>
      <c r="W30" s="131"/>
      <c r="X30" s="133"/>
      <c r="Y30" s="132"/>
      <c r="Z30" s="128"/>
      <c r="AA30" s="129"/>
      <c r="AB30" s="129"/>
    </row>
    <row r="31" spans="1:28" ht="33.75" customHeight="1" x14ac:dyDescent="0.2">
      <c r="A31" s="107" t="s">
        <v>73</v>
      </c>
      <c r="B31" s="93"/>
      <c r="C31" s="102" t="s">
        <v>471</v>
      </c>
      <c r="D31" s="579" t="s">
        <v>468</v>
      </c>
      <c r="E31" s="572"/>
      <c r="F31" s="572"/>
      <c r="G31" s="572"/>
      <c r="H31" s="572"/>
      <c r="I31" s="572"/>
      <c r="J31" s="572"/>
      <c r="K31" s="572"/>
      <c r="L31" s="572"/>
      <c r="M31" s="572"/>
      <c r="N31" s="572"/>
      <c r="O31" s="71"/>
      <c r="P31" s="95" t="str">
        <f t="shared" si="2"/>
        <v/>
      </c>
      <c r="Q31" s="173"/>
      <c r="R31" s="173"/>
      <c r="S31" s="124"/>
      <c r="T31" s="124"/>
      <c r="U31" s="124"/>
      <c r="V31" s="125"/>
      <c r="W31" s="131"/>
      <c r="X31" s="133"/>
      <c r="Y31" s="132"/>
      <c r="Z31" s="128"/>
      <c r="AA31" s="129"/>
      <c r="AB31" s="129"/>
    </row>
    <row r="32" spans="1:28" ht="45" customHeight="1" x14ac:dyDescent="0.2">
      <c r="A32" s="107" t="s">
        <v>69</v>
      </c>
      <c r="B32" s="93"/>
      <c r="C32" s="102" t="s">
        <v>472</v>
      </c>
      <c r="D32" s="579" t="s">
        <v>469</v>
      </c>
      <c r="E32" s="572"/>
      <c r="F32" s="572"/>
      <c r="G32" s="572"/>
      <c r="H32" s="572"/>
      <c r="I32" s="572"/>
      <c r="J32" s="572"/>
      <c r="K32" s="572"/>
      <c r="L32" s="572"/>
      <c r="M32" s="572"/>
      <c r="N32" s="572"/>
      <c r="O32" s="71"/>
      <c r="P32" s="95" t="str">
        <f>IF(O32="","",IF(O32="Yes","Pass",IF(O32="No","Fail","N/A")))</f>
        <v/>
      </c>
      <c r="Q32" s="173"/>
      <c r="R32" s="173"/>
      <c r="S32" s="124"/>
      <c r="T32" s="124"/>
      <c r="U32" s="124"/>
      <c r="V32" s="125"/>
      <c r="W32" s="131"/>
      <c r="X32" s="133"/>
      <c r="Y32" s="132"/>
      <c r="Z32" s="128"/>
      <c r="AA32" s="129"/>
      <c r="AB32" s="129"/>
    </row>
    <row r="33" spans="1:28" ht="30" customHeight="1" x14ac:dyDescent="0.2">
      <c r="A33" s="107" t="s">
        <v>70</v>
      </c>
      <c r="B33" s="93"/>
      <c r="C33" s="102" t="s">
        <v>473</v>
      </c>
      <c r="D33" s="579" t="s">
        <v>470</v>
      </c>
      <c r="E33" s="572"/>
      <c r="F33" s="572"/>
      <c r="G33" s="572"/>
      <c r="H33" s="572"/>
      <c r="I33" s="572"/>
      <c r="J33" s="572"/>
      <c r="K33" s="572"/>
      <c r="L33" s="572"/>
      <c r="M33" s="572"/>
      <c r="N33" s="572"/>
      <c r="O33" s="71"/>
      <c r="P33" s="95" t="str">
        <f>IF(O33="","",IF(O33="Yes","Pass",IF(O33="No","Fail","N/A")))</f>
        <v/>
      </c>
      <c r="Q33" s="173"/>
      <c r="R33" s="173"/>
      <c r="S33" s="124"/>
      <c r="T33" s="124"/>
      <c r="U33" s="124"/>
      <c r="V33" s="125"/>
      <c r="W33" s="131"/>
      <c r="X33" s="133"/>
      <c r="Y33" s="132"/>
      <c r="Z33" s="128"/>
      <c r="AA33" s="129"/>
      <c r="AB33" s="129"/>
    </row>
    <row r="34" spans="1:28" ht="24" customHeight="1" x14ac:dyDescent="0.2">
      <c r="A34" s="107" t="s">
        <v>69</v>
      </c>
      <c r="B34" s="93"/>
      <c r="C34" s="580" t="s">
        <v>545</v>
      </c>
      <c r="D34" s="470"/>
      <c r="E34" s="470"/>
      <c r="F34" s="470"/>
      <c r="G34" s="470"/>
      <c r="H34" s="470"/>
      <c r="I34" s="470"/>
      <c r="J34" s="470"/>
      <c r="K34" s="470"/>
      <c r="L34" s="470"/>
      <c r="M34" s="470"/>
      <c r="N34" s="470"/>
      <c r="O34" s="341"/>
      <c r="Q34" s="359"/>
      <c r="S34" s="124"/>
      <c r="T34" s="124"/>
      <c r="U34" s="124"/>
      <c r="V34" s="125"/>
      <c r="W34" s="131"/>
      <c r="X34" s="133"/>
      <c r="Y34" s="132"/>
      <c r="Z34" s="128"/>
      <c r="AA34" s="129"/>
      <c r="AB34" s="129"/>
    </row>
    <row r="35" spans="1:28" ht="27.75" customHeight="1" x14ac:dyDescent="0.2">
      <c r="A35" s="107" t="s">
        <v>69</v>
      </c>
      <c r="B35" s="93"/>
      <c r="C35" s="581" t="s">
        <v>17</v>
      </c>
      <c r="D35" s="470"/>
      <c r="E35" s="470"/>
      <c r="F35" s="470"/>
      <c r="G35" s="470"/>
      <c r="H35" s="470"/>
      <c r="I35" s="470"/>
      <c r="J35" s="470"/>
      <c r="K35" s="470"/>
      <c r="L35" s="470"/>
      <c r="M35" s="470"/>
      <c r="N35" s="470"/>
      <c r="O35" s="345"/>
      <c r="Q35" s="173"/>
      <c r="R35"/>
      <c r="U35"/>
      <c r="V35"/>
      <c r="W35"/>
      <c r="X35"/>
      <c r="Y35"/>
      <c r="Z35"/>
      <c r="AA35"/>
      <c r="AB35"/>
    </row>
    <row r="36" spans="1:28" ht="24.75" customHeight="1" x14ac:dyDescent="0.25">
      <c r="A36" s="107" t="s">
        <v>70</v>
      </c>
      <c r="B36" s="93"/>
      <c r="C36" s="100" t="s">
        <v>264</v>
      </c>
      <c r="D36" s="573" t="s">
        <v>72</v>
      </c>
      <c r="E36" s="574"/>
      <c r="F36" s="574"/>
      <c r="G36" s="574"/>
      <c r="H36" s="574"/>
      <c r="I36" s="574"/>
      <c r="J36" s="574"/>
      <c r="K36" s="574"/>
      <c r="L36" s="574"/>
      <c r="M36" s="574"/>
      <c r="N36" s="440"/>
      <c r="O36" s="101" t="s">
        <v>265</v>
      </c>
      <c r="P36" s="101" t="s">
        <v>266</v>
      </c>
      <c r="Q36" s="173"/>
      <c r="R36"/>
      <c r="U36"/>
      <c r="V36"/>
      <c r="W36"/>
      <c r="X36"/>
      <c r="Y36"/>
      <c r="Z36"/>
      <c r="AA36"/>
      <c r="AB36"/>
    </row>
    <row r="37" spans="1:28" ht="31.5" customHeight="1" x14ac:dyDescent="0.2">
      <c r="A37" s="107" t="s">
        <v>73</v>
      </c>
      <c r="B37" s="93"/>
      <c r="C37" s="103" t="s">
        <v>220</v>
      </c>
      <c r="D37" s="445" t="s">
        <v>544</v>
      </c>
      <c r="E37" s="568"/>
      <c r="F37" s="568"/>
      <c r="G37" s="568"/>
      <c r="H37" s="568"/>
      <c r="I37" s="568"/>
      <c r="J37" s="568"/>
      <c r="K37" s="568"/>
      <c r="L37" s="568"/>
      <c r="M37" s="568"/>
      <c r="N37" s="569"/>
      <c r="O37" s="71"/>
      <c r="P37" s="95" t="str">
        <f>IF(O37="","",IF(O37="Yes","Pass",IF(O37="No","Fail","N/A")))</f>
        <v/>
      </c>
      <c r="Q37" s="173"/>
      <c r="R37"/>
      <c r="U37"/>
      <c r="V37"/>
      <c r="W37"/>
      <c r="X37"/>
      <c r="Y37"/>
      <c r="Z37"/>
      <c r="AA37"/>
      <c r="AB37"/>
    </row>
    <row r="38" spans="1:28" ht="30" customHeight="1" x14ac:dyDescent="0.2">
      <c r="A38" s="107" t="s">
        <v>70</v>
      </c>
      <c r="B38" s="93"/>
      <c r="C38" s="185"/>
      <c r="D38" s="296" t="s">
        <v>351</v>
      </c>
      <c r="E38" s="297"/>
      <c r="F38" s="298"/>
      <c r="G38" s="299"/>
      <c r="I38" s="300" t="s">
        <v>352</v>
      </c>
      <c r="J38" s="299"/>
      <c r="K38" s="301" t="s">
        <v>353</v>
      </c>
      <c r="L38" s="191"/>
      <c r="M38" s="302"/>
      <c r="N38" s="303" t="e">
        <f>J38/G38</f>
        <v>#DIV/0!</v>
      </c>
      <c r="Q38" s="173"/>
      <c r="R38"/>
      <c r="U38"/>
      <c r="V38"/>
      <c r="W38"/>
      <c r="X38"/>
      <c r="Y38"/>
      <c r="Z38"/>
      <c r="AA38"/>
      <c r="AB38"/>
    </row>
    <row r="39" spans="1:28" ht="38.25" customHeight="1" x14ac:dyDescent="0.2">
      <c r="A39" s="107" t="s">
        <v>73</v>
      </c>
      <c r="B39" s="93"/>
      <c r="C39" s="97" t="s">
        <v>133</v>
      </c>
      <c r="D39" s="579" t="s">
        <v>645</v>
      </c>
      <c r="E39" s="572"/>
      <c r="F39" s="572"/>
      <c r="G39" s="572"/>
      <c r="H39" s="572"/>
      <c r="I39" s="572"/>
      <c r="J39" s="572"/>
      <c r="K39" s="572"/>
      <c r="L39" s="572"/>
      <c r="M39" s="572"/>
      <c r="N39" s="572"/>
      <c r="O39" s="71"/>
      <c r="P39" s="95" t="str">
        <f t="shared" ref="P39:P49" si="3">IF(O39="","",IF(O39="Yes","Pass",IF(O39="No","Fail","N/A")))</f>
        <v/>
      </c>
      <c r="Q39" s="173"/>
      <c r="R39"/>
      <c r="U39"/>
      <c r="V39"/>
      <c r="W39"/>
      <c r="X39"/>
      <c r="Y39"/>
      <c r="Z39"/>
      <c r="AA39"/>
      <c r="AB39"/>
    </row>
    <row r="40" spans="1:28" ht="30" customHeight="1" x14ac:dyDescent="0.2">
      <c r="A40" s="107" t="s">
        <v>70</v>
      </c>
      <c r="B40" s="93"/>
      <c r="C40" s="97" t="s">
        <v>221</v>
      </c>
      <c r="D40" s="579" t="s">
        <v>536</v>
      </c>
      <c r="E40" s="470"/>
      <c r="F40" s="470"/>
      <c r="G40" s="470"/>
      <c r="H40" s="470"/>
      <c r="I40" s="470"/>
      <c r="J40" s="470"/>
      <c r="K40" s="470"/>
      <c r="L40" s="470"/>
      <c r="M40" s="470"/>
      <c r="N40" s="470"/>
      <c r="O40" s="71"/>
      <c r="P40" s="95" t="str">
        <f t="shared" si="3"/>
        <v/>
      </c>
      <c r="Q40" s="173"/>
      <c r="R40"/>
      <c r="U40"/>
      <c r="V40"/>
      <c r="W40"/>
      <c r="X40"/>
      <c r="Y40"/>
      <c r="Z40"/>
      <c r="AA40"/>
      <c r="AB40"/>
    </row>
    <row r="41" spans="1:28" ht="41.25" customHeight="1" x14ac:dyDescent="0.2">
      <c r="A41" s="107">
        <v>1</v>
      </c>
      <c r="B41" s="93"/>
      <c r="C41" s="103" t="s">
        <v>222</v>
      </c>
      <c r="D41" s="445" t="s">
        <v>537</v>
      </c>
      <c r="E41" s="568"/>
      <c r="F41" s="568"/>
      <c r="G41" s="568"/>
      <c r="H41" s="568"/>
      <c r="I41" s="568"/>
      <c r="J41" s="568"/>
      <c r="K41" s="568"/>
      <c r="L41" s="568"/>
      <c r="M41" s="568"/>
      <c r="N41" s="569"/>
      <c r="O41" s="71"/>
      <c r="P41" s="95" t="str">
        <f t="shared" si="3"/>
        <v/>
      </c>
      <c r="Q41" s="173"/>
      <c r="R41"/>
      <c r="U41"/>
      <c r="V41"/>
      <c r="W41"/>
      <c r="X41"/>
      <c r="Y41"/>
      <c r="Z41"/>
      <c r="AA41"/>
      <c r="AB41"/>
    </row>
    <row r="42" spans="1:28" ht="34.5" customHeight="1" x14ac:dyDescent="0.2">
      <c r="A42" s="107"/>
      <c r="B42" s="93"/>
      <c r="C42" s="97" t="s">
        <v>223</v>
      </c>
      <c r="D42" s="445" t="s">
        <v>538</v>
      </c>
      <c r="E42" s="568"/>
      <c r="F42" s="568"/>
      <c r="G42" s="568"/>
      <c r="H42" s="568"/>
      <c r="I42" s="568"/>
      <c r="J42" s="568"/>
      <c r="K42" s="568"/>
      <c r="L42" s="568"/>
      <c r="M42" s="568"/>
      <c r="N42" s="569"/>
      <c r="O42" s="71"/>
      <c r="P42" s="95" t="str">
        <f t="shared" si="3"/>
        <v/>
      </c>
      <c r="Q42" s="173"/>
      <c r="R42"/>
      <c r="U42"/>
      <c r="V42"/>
      <c r="W42"/>
      <c r="X42"/>
      <c r="Y42"/>
      <c r="Z42"/>
      <c r="AA42"/>
      <c r="AB42"/>
    </row>
    <row r="43" spans="1:28" ht="33" customHeight="1" x14ac:dyDescent="0.2">
      <c r="A43" s="106">
        <v>1</v>
      </c>
      <c r="B43" s="93"/>
      <c r="C43" s="97" t="s">
        <v>224</v>
      </c>
      <c r="D43" s="445" t="s">
        <v>273</v>
      </c>
      <c r="E43" s="568"/>
      <c r="F43" s="568"/>
      <c r="G43" s="568"/>
      <c r="H43" s="568"/>
      <c r="I43" s="568"/>
      <c r="J43" s="568"/>
      <c r="K43" s="568"/>
      <c r="L43" s="568"/>
      <c r="M43" s="568"/>
      <c r="N43" s="569"/>
      <c r="O43" s="71"/>
      <c r="P43" s="95" t="str">
        <f t="shared" si="3"/>
        <v/>
      </c>
      <c r="Q43" s="173"/>
      <c r="R43"/>
      <c r="U43"/>
      <c r="V43"/>
      <c r="W43"/>
      <c r="X43"/>
      <c r="Y43"/>
      <c r="Z43"/>
      <c r="AA43"/>
      <c r="AB43"/>
    </row>
    <row r="44" spans="1:28" ht="35.25" customHeight="1" x14ac:dyDescent="0.2">
      <c r="A44" s="107" t="s">
        <v>73</v>
      </c>
      <c r="C44" s="103" t="s">
        <v>225</v>
      </c>
      <c r="D44" s="567" t="s">
        <v>274</v>
      </c>
      <c r="E44" s="470"/>
      <c r="F44" s="470"/>
      <c r="G44" s="470"/>
      <c r="H44" s="470"/>
      <c r="I44" s="470"/>
      <c r="J44" s="470"/>
      <c r="K44" s="470"/>
      <c r="L44" s="470"/>
      <c r="M44" s="470"/>
      <c r="N44" s="470"/>
      <c r="O44" s="71"/>
      <c r="P44" s="95" t="str">
        <f t="shared" si="3"/>
        <v/>
      </c>
      <c r="Q44" s="173"/>
      <c r="R44"/>
      <c r="U44"/>
      <c r="V44"/>
      <c r="W44"/>
      <c r="X44"/>
      <c r="Y44"/>
      <c r="Z44"/>
      <c r="AA44"/>
      <c r="AB44"/>
    </row>
    <row r="45" spans="1:28" ht="35.25" customHeight="1" x14ac:dyDescent="0.2">
      <c r="B45" s="93"/>
      <c r="C45" s="97" t="s">
        <v>226</v>
      </c>
      <c r="D45" s="445" t="s">
        <v>275</v>
      </c>
      <c r="E45" s="568"/>
      <c r="F45" s="568"/>
      <c r="G45" s="568"/>
      <c r="H45" s="568"/>
      <c r="I45" s="568"/>
      <c r="J45" s="568"/>
      <c r="K45" s="568"/>
      <c r="L45" s="568"/>
      <c r="M45" s="568"/>
      <c r="N45" s="569"/>
      <c r="O45" s="71"/>
      <c r="P45" s="95" t="str">
        <f t="shared" si="3"/>
        <v/>
      </c>
      <c r="Q45" s="173"/>
      <c r="R45"/>
      <c r="U45"/>
      <c r="V45"/>
      <c r="W45"/>
      <c r="X45"/>
      <c r="Y45"/>
      <c r="Z45"/>
      <c r="AA45"/>
      <c r="AB45"/>
    </row>
    <row r="46" spans="1:28" ht="18" customHeight="1" x14ac:dyDescent="0.2">
      <c r="C46" s="97" t="s">
        <v>227</v>
      </c>
      <c r="D46" s="445" t="s">
        <v>276</v>
      </c>
      <c r="E46" s="570"/>
      <c r="F46" s="570"/>
      <c r="G46" s="570"/>
      <c r="H46" s="570"/>
      <c r="I46" s="570"/>
      <c r="J46" s="570"/>
      <c r="K46" s="570"/>
      <c r="L46" s="570"/>
      <c r="M46" s="570"/>
      <c r="N46" s="570"/>
      <c r="O46" s="71"/>
      <c r="P46" s="95" t="str">
        <f t="shared" si="3"/>
        <v/>
      </c>
      <c r="Q46" s="173"/>
      <c r="R46"/>
      <c r="U46"/>
      <c r="V46"/>
      <c r="W46"/>
      <c r="X46"/>
      <c r="Y46"/>
      <c r="Z46"/>
      <c r="AA46"/>
      <c r="AB46"/>
    </row>
    <row r="47" spans="1:28" ht="35.25" customHeight="1" x14ac:dyDescent="0.2">
      <c r="A47" s="106">
        <v>1</v>
      </c>
      <c r="C47" s="103" t="s">
        <v>228</v>
      </c>
      <c r="D47" s="445" t="s">
        <v>277</v>
      </c>
      <c r="E47" s="568"/>
      <c r="F47" s="568"/>
      <c r="G47" s="568"/>
      <c r="H47" s="568"/>
      <c r="I47" s="568"/>
      <c r="J47" s="568"/>
      <c r="K47" s="568"/>
      <c r="L47" s="568"/>
      <c r="M47" s="568"/>
      <c r="N47" s="569"/>
      <c r="O47" s="71"/>
      <c r="P47" s="95" t="str">
        <f t="shared" si="3"/>
        <v/>
      </c>
      <c r="R47"/>
      <c r="U47"/>
      <c r="V47"/>
      <c r="W47"/>
      <c r="X47"/>
      <c r="Y47"/>
      <c r="Z47"/>
      <c r="AA47"/>
      <c r="AB47"/>
    </row>
    <row r="48" spans="1:28" ht="57.75" customHeight="1" x14ac:dyDescent="0.2">
      <c r="A48" s="107" t="s">
        <v>69</v>
      </c>
      <c r="C48" s="97" t="s">
        <v>229</v>
      </c>
      <c r="D48" s="565" t="s">
        <v>539</v>
      </c>
      <c r="E48" s="566"/>
      <c r="F48" s="566"/>
      <c r="G48" s="566"/>
      <c r="H48" s="566"/>
      <c r="I48" s="566"/>
      <c r="J48" s="566"/>
      <c r="K48" s="566"/>
      <c r="L48" s="566"/>
      <c r="M48" s="566"/>
      <c r="N48" s="566"/>
      <c r="O48" s="71"/>
      <c r="P48" s="95" t="str">
        <f t="shared" si="3"/>
        <v/>
      </c>
      <c r="Q48" s="171"/>
      <c r="R48"/>
      <c r="U48"/>
      <c r="V48"/>
      <c r="W48"/>
      <c r="X48"/>
      <c r="Y48"/>
      <c r="Z48"/>
      <c r="AA48"/>
      <c r="AB48"/>
    </row>
    <row r="49" spans="1:28" ht="39" customHeight="1" x14ac:dyDescent="0.2">
      <c r="A49" s="106">
        <v>1</v>
      </c>
      <c r="B49" s="93"/>
      <c r="C49" s="97" t="s">
        <v>230</v>
      </c>
      <c r="D49" s="567" t="s">
        <v>540</v>
      </c>
      <c r="E49" s="470"/>
      <c r="F49" s="470"/>
      <c r="G49" s="470"/>
      <c r="H49" s="470"/>
      <c r="I49" s="470"/>
      <c r="J49" s="470"/>
      <c r="K49" s="470"/>
      <c r="L49" s="470"/>
      <c r="M49" s="470"/>
      <c r="N49" s="471"/>
      <c r="O49" s="71"/>
      <c r="P49" s="95" t="str">
        <f t="shared" si="3"/>
        <v/>
      </c>
      <c r="Q49" s="123"/>
      <c r="R49"/>
      <c r="U49"/>
      <c r="V49"/>
      <c r="W49"/>
      <c r="X49"/>
      <c r="Y49"/>
      <c r="Z49"/>
      <c r="AA49"/>
      <c r="AB49"/>
    </row>
    <row r="50" spans="1:28" ht="19.5" customHeight="1" x14ac:dyDescent="0.2">
      <c r="A50" s="107" t="s">
        <v>73</v>
      </c>
      <c r="C50" s="580" t="s">
        <v>278</v>
      </c>
      <c r="D50" s="470"/>
      <c r="E50" s="470"/>
      <c r="F50" s="470"/>
      <c r="G50" s="470"/>
      <c r="H50" s="470"/>
      <c r="I50" s="470"/>
      <c r="J50" s="470"/>
      <c r="K50" s="470"/>
      <c r="L50" s="470"/>
      <c r="M50" s="470"/>
      <c r="N50" s="470"/>
      <c r="O50" s="347"/>
      <c r="P50" s="344"/>
      <c r="Q50" s="99"/>
      <c r="R50"/>
      <c r="U50"/>
      <c r="V50"/>
      <c r="W50"/>
      <c r="X50"/>
      <c r="Y50"/>
      <c r="Z50"/>
      <c r="AA50"/>
      <c r="AB50"/>
    </row>
    <row r="51" spans="1:28" ht="25.5" customHeight="1" x14ac:dyDescent="0.2">
      <c r="A51" s="107" t="s">
        <v>69</v>
      </c>
      <c r="B51" s="93"/>
      <c r="C51" s="581" t="s">
        <v>17</v>
      </c>
      <c r="D51" s="470"/>
      <c r="E51" s="470"/>
      <c r="F51" s="470"/>
      <c r="G51" s="470"/>
      <c r="H51" s="470"/>
      <c r="I51" s="470"/>
      <c r="J51" s="470"/>
      <c r="K51" s="470"/>
      <c r="L51" s="470"/>
      <c r="M51" s="470"/>
      <c r="N51" s="470"/>
      <c r="O51" s="345"/>
      <c r="Q51" s="359"/>
      <c r="R51"/>
      <c r="U51"/>
      <c r="V51"/>
      <c r="W51"/>
      <c r="X51"/>
      <c r="Y51"/>
      <c r="Z51"/>
      <c r="AA51"/>
      <c r="AB51"/>
    </row>
    <row r="52" spans="1:28" ht="21.75" customHeight="1" x14ac:dyDescent="0.25">
      <c r="A52" s="106">
        <v>1</v>
      </c>
      <c r="B52" s="93"/>
      <c r="C52" s="100" t="s">
        <v>264</v>
      </c>
      <c r="D52" s="576" t="s">
        <v>74</v>
      </c>
      <c r="E52" s="577"/>
      <c r="F52" s="577"/>
      <c r="G52" s="577"/>
      <c r="H52" s="577"/>
      <c r="I52" s="577"/>
      <c r="J52" s="577"/>
      <c r="K52" s="577"/>
      <c r="L52" s="577"/>
      <c r="M52" s="577"/>
      <c r="N52" s="578"/>
      <c r="O52" s="101" t="s">
        <v>265</v>
      </c>
      <c r="P52" s="101" t="s">
        <v>266</v>
      </c>
      <c r="Q52" s="173"/>
      <c r="R52"/>
      <c r="U52"/>
      <c r="V52"/>
      <c r="W52"/>
      <c r="X52"/>
      <c r="Y52"/>
      <c r="Z52"/>
      <c r="AA52"/>
      <c r="AB52"/>
    </row>
    <row r="53" spans="1:28" ht="34.5" customHeight="1" x14ac:dyDescent="0.2">
      <c r="A53" s="106">
        <v>1</v>
      </c>
      <c r="C53" s="94" t="s">
        <v>232</v>
      </c>
      <c r="D53" s="601" t="s">
        <v>279</v>
      </c>
      <c r="E53" s="595"/>
      <c r="F53" s="595"/>
      <c r="G53" s="595"/>
      <c r="H53" s="595"/>
      <c r="I53" s="595"/>
      <c r="J53" s="595"/>
      <c r="K53" s="595"/>
      <c r="L53" s="595"/>
      <c r="M53" s="595"/>
      <c r="N53" s="595"/>
      <c r="O53" s="71"/>
      <c r="P53" s="95" t="str">
        <f t="shared" ref="P53:P60" si="4">IF(O53="","",IF(O53="Yes","Pass",IF(O53="No","Fail","N/A")))</f>
        <v/>
      </c>
      <c r="Q53" s="173"/>
      <c r="R53"/>
      <c r="U53"/>
      <c r="V53"/>
      <c r="W53"/>
      <c r="X53"/>
      <c r="Y53"/>
      <c r="Z53"/>
      <c r="AA53"/>
      <c r="AB53"/>
    </row>
    <row r="54" spans="1:28" ht="60.75" customHeight="1" x14ac:dyDescent="0.2">
      <c r="A54" s="106">
        <v>1</v>
      </c>
      <c r="C54" s="94" t="s">
        <v>233</v>
      </c>
      <c r="D54" s="601" t="s">
        <v>457</v>
      </c>
      <c r="E54" s="605"/>
      <c r="F54" s="605"/>
      <c r="G54" s="605"/>
      <c r="H54" s="605"/>
      <c r="I54" s="605"/>
      <c r="J54" s="605"/>
      <c r="K54" s="605"/>
      <c r="L54" s="605"/>
      <c r="M54" s="605"/>
      <c r="N54" s="606"/>
      <c r="O54" s="71"/>
      <c r="P54" s="95" t="str">
        <f t="shared" si="4"/>
        <v/>
      </c>
      <c r="Q54" s="173"/>
      <c r="R54"/>
      <c r="U54"/>
      <c r="V54"/>
      <c r="W54"/>
      <c r="X54"/>
      <c r="Y54"/>
      <c r="Z54"/>
      <c r="AA54"/>
      <c r="AB54"/>
    </row>
    <row r="55" spans="1:28" ht="38.25" customHeight="1" x14ac:dyDescent="0.2">
      <c r="A55" s="106">
        <v>1</v>
      </c>
      <c r="B55" s="107" t="s">
        <v>70</v>
      </c>
      <c r="C55" s="94" t="s">
        <v>458</v>
      </c>
      <c r="D55" s="602" t="s">
        <v>454</v>
      </c>
      <c r="E55" s="603"/>
      <c r="F55" s="603"/>
      <c r="G55" s="603"/>
      <c r="H55" s="603"/>
      <c r="I55" s="603"/>
      <c r="J55" s="603"/>
      <c r="K55" s="603"/>
      <c r="L55" s="603"/>
      <c r="M55" s="603"/>
      <c r="N55" s="604"/>
      <c r="O55" s="71"/>
      <c r="P55" s="95" t="str">
        <f t="shared" si="4"/>
        <v/>
      </c>
      <c r="Q55" s="173"/>
      <c r="R55"/>
      <c r="U55"/>
      <c r="V55"/>
      <c r="W55"/>
      <c r="X55"/>
      <c r="Y55"/>
      <c r="Z55"/>
      <c r="AA55"/>
      <c r="AB55"/>
    </row>
    <row r="56" spans="1:28" ht="68.25" customHeight="1" x14ac:dyDescent="0.2">
      <c r="A56" s="107" t="s">
        <v>73</v>
      </c>
      <c r="C56" s="94" t="s">
        <v>234</v>
      </c>
      <c r="D56" s="594" t="s">
        <v>541</v>
      </c>
      <c r="E56" s="595"/>
      <c r="F56" s="595"/>
      <c r="G56" s="595"/>
      <c r="H56" s="595"/>
      <c r="I56" s="595"/>
      <c r="J56" s="595"/>
      <c r="K56" s="595"/>
      <c r="L56" s="595"/>
      <c r="M56" s="595"/>
      <c r="N56" s="596"/>
      <c r="O56" s="71"/>
      <c r="P56" s="95" t="str">
        <f t="shared" si="4"/>
        <v/>
      </c>
      <c r="Q56" s="173"/>
      <c r="R56"/>
      <c r="U56"/>
      <c r="V56"/>
      <c r="W56"/>
      <c r="X56"/>
      <c r="Y56"/>
      <c r="Z56"/>
      <c r="AA56"/>
      <c r="AB56"/>
    </row>
    <row r="57" spans="1:28" ht="31.5" customHeight="1" x14ac:dyDescent="0.2">
      <c r="B57" s="93"/>
      <c r="C57" s="94" t="s">
        <v>235</v>
      </c>
      <c r="D57" s="602" t="s">
        <v>459</v>
      </c>
      <c r="E57" s="603"/>
      <c r="F57" s="603"/>
      <c r="G57" s="603"/>
      <c r="H57" s="603"/>
      <c r="I57" s="603"/>
      <c r="J57" s="603"/>
      <c r="K57" s="603"/>
      <c r="L57" s="603"/>
      <c r="M57" s="603"/>
      <c r="N57" s="604"/>
      <c r="O57" s="71"/>
      <c r="P57" s="95" t="str">
        <f t="shared" si="4"/>
        <v/>
      </c>
      <c r="Q57" s="173"/>
      <c r="R57"/>
      <c r="U57"/>
      <c r="V57"/>
      <c r="W57"/>
      <c r="X57"/>
      <c r="Y57"/>
      <c r="Z57"/>
      <c r="AA57"/>
      <c r="AB57"/>
    </row>
    <row r="58" spans="1:28" ht="40.5" customHeight="1" x14ac:dyDescent="0.2">
      <c r="C58" s="104" t="s">
        <v>460</v>
      </c>
      <c r="D58" s="597" t="s">
        <v>455</v>
      </c>
      <c r="E58" s="595"/>
      <c r="F58" s="595"/>
      <c r="G58" s="595"/>
      <c r="H58" s="595"/>
      <c r="I58" s="595"/>
      <c r="J58" s="595"/>
      <c r="K58" s="595"/>
      <c r="L58" s="595"/>
      <c r="M58" s="595"/>
      <c r="N58" s="596"/>
      <c r="O58" s="71"/>
      <c r="P58" s="95" t="str">
        <f t="shared" si="4"/>
        <v/>
      </c>
      <c r="Q58" s="173"/>
      <c r="R58"/>
      <c r="U58"/>
      <c r="V58"/>
      <c r="W58"/>
      <c r="X58"/>
      <c r="Y58"/>
      <c r="Z58"/>
      <c r="AA58"/>
      <c r="AB58"/>
    </row>
    <row r="59" spans="1:28" ht="30" customHeight="1" x14ac:dyDescent="0.2">
      <c r="A59" s="107" t="s">
        <v>70</v>
      </c>
      <c r="C59" s="104" t="s">
        <v>236</v>
      </c>
      <c r="D59" s="598" t="s">
        <v>456</v>
      </c>
      <c r="E59" s="599"/>
      <c r="F59" s="599"/>
      <c r="G59" s="599"/>
      <c r="H59" s="599"/>
      <c r="I59" s="599"/>
      <c r="J59" s="599"/>
      <c r="K59" s="599"/>
      <c r="L59" s="599"/>
      <c r="M59" s="599"/>
      <c r="N59" s="600"/>
      <c r="O59" s="71"/>
      <c r="P59" s="95" t="str">
        <f t="shared" si="4"/>
        <v/>
      </c>
      <c r="Q59" s="173"/>
      <c r="R59"/>
      <c r="U59"/>
      <c r="V59"/>
      <c r="W59"/>
      <c r="X59"/>
      <c r="Y59"/>
      <c r="Z59"/>
      <c r="AA59"/>
      <c r="AB59"/>
    </row>
    <row r="60" spans="1:28" ht="30" customHeight="1" x14ac:dyDescent="0.2">
      <c r="A60" s="107" t="s">
        <v>70</v>
      </c>
      <c r="B60" s="93"/>
      <c r="C60" s="104" t="s">
        <v>237</v>
      </c>
      <c r="D60" s="598" t="s">
        <v>280</v>
      </c>
      <c r="E60" s="599"/>
      <c r="F60" s="599"/>
      <c r="G60" s="599"/>
      <c r="H60" s="599"/>
      <c r="I60" s="599"/>
      <c r="J60" s="599"/>
      <c r="K60" s="599"/>
      <c r="L60" s="599"/>
      <c r="M60" s="599"/>
      <c r="N60" s="600"/>
      <c r="O60" s="71"/>
      <c r="P60" s="95" t="str">
        <f t="shared" si="4"/>
        <v/>
      </c>
      <c r="Q60" s="171"/>
      <c r="R60"/>
      <c r="U60"/>
      <c r="V60"/>
      <c r="W60"/>
      <c r="X60"/>
      <c r="Y60"/>
      <c r="Z60"/>
      <c r="AA60"/>
      <c r="AB60"/>
    </row>
    <row r="61" spans="1:28" ht="22.5" customHeight="1" x14ac:dyDescent="0.2">
      <c r="A61" s="107" t="s">
        <v>69</v>
      </c>
      <c r="B61" s="107" t="s">
        <v>69</v>
      </c>
      <c r="C61" s="580" t="s">
        <v>281</v>
      </c>
      <c r="D61" s="470"/>
      <c r="E61" s="470"/>
      <c r="F61" s="470"/>
      <c r="G61" s="470"/>
      <c r="H61" s="470"/>
      <c r="I61" s="470"/>
      <c r="J61" s="470"/>
      <c r="K61" s="470"/>
      <c r="L61" s="470"/>
      <c r="M61" s="470"/>
      <c r="N61" s="470"/>
      <c r="O61" s="347"/>
      <c r="P61" s="345"/>
      <c r="Q61" s="172"/>
      <c r="R61"/>
      <c r="U61"/>
      <c r="V61"/>
      <c r="W61"/>
      <c r="X61"/>
      <c r="Y61"/>
      <c r="Z61"/>
      <c r="AA61"/>
      <c r="AB61"/>
    </row>
    <row r="62" spans="1:28" ht="28.5" customHeight="1" x14ac:dyDescent="0.2">
      <c r="A62" s="107"/>
      <c r="B62" s="147"/>
      <c r="C62" s="581" t="s">
        <v>17</v>
      </c>
      <c r="D62" s="470"/>
      <c r="E62" s="470"/>
      <c r="F62" s="470"/>
      <c r="G62" s="470"/>
      <c r="H62" s="470"/>
      <c r="I62" s="470"/>
      <c r="J62" s="470"/>
      <c r="K62" s="470"/>
      <c r="L62" s="470"/>
      <c r="M62" s="470"/>
      <c r="N62" s="470"/>
      <c r="O62" s="345"/>
      <c r="Q62" s="171"/>
      <c r="R62"/>
      <c r="U62"/>
      <c r="V62"/>
      <c r="W62"/>
      <c r="X62"/>
      <c r="Y62"/>
      <c r="Z62"/>
      <c r="AA62"/>
      <c r="AB62"/>
    </row>
    <row r="63" spans="1:28" ht="30" customHeight="1" x14ac:dyDescent="0.25">
      <c r="A63" s="107" t="s">
        <v>70</v>
      </c>
      <c r="B63" s="93"/>
      <c r="C63" s="100" t="s">
        <v>264</v>
      </c>
      <c r="D63" s="573" t="s">
        <v>75</v>
      </c>
      <c r="E63" s="574"/>
      <c r="F63" s="574"/>
      <c r="G63" s="574"/>
      <c r="H63" s="574"/>
      <c r="I63" s="574"/>
      <c r="J63" s="574"/>
      <c r="K63" s="574"/>
      <c r="L63" s="574"/>
      <c r="M63" s="574"/>
      <c r="N63" s="440"/>
      <c r="O63" s="101" t="s">
        <v>265</v>
      </c>
      <c r="P63" s="101" t="s">
        <v>266</v>
      </c>
      <c r="Q63" s="359"/>
      <c r="R63"/>
      <c r="U63"/>
      <c r="V63"/>
      <c r="W63"/>
      <c r="X63"/>
      <c r="Y63"/>
      <c r="Z63"/>
      <c r="AA63"/>
      <c r="AB63"/>
    </row>
    <row r="64" spans="1:28" ht="30" customHeight="1" x14ac:dyDescent="0.2">
      <c r="A64" s="107" t="s">
        <v>70</v>
      </c>
      <c r="B64" s="93"/>
      <c r="C64" s="94" t="s">
        <v>239</v>
      </c>
      <c r="D64" s="567" t="s">
        <v>461</v>
      </c>
      <c r="E64" s="470"/>
      <c r="F64" s="470"/>
      <c r="G64" s="470"/>
      <c r="H64" s="470"/>
      <c r="I64" s="470"/>
      <c r="J64" s="470"/>
      <c r="K64" s="470"/>
      <c r="L64" s="470"/>
      <c r="M64" s="470"/>
      <c r="N64" s="471"/>
      <c r="O64" s="71"/>
      <c r="P64" s="95" t="str">
        <f t="shared" ref="P64:P69" si="5">IF(O64="","",IF(O64="Yes","Pass",IF(O64="No","Fail","N/A")))</f>
        <v/>
      </c>
      <c r="Q64" s="173"/>
      <c r="R64"/>
      <c r="U64"/>
      <c r="V64"/>
      <c r="W64"/>
      <c r="X64"/>
      <c r="Y64"/>
      <c r="Z64"/>
      <c r="AA64"/>
      <c r="AB64"/>
    </row>
    <row r="65" spans="1:28" ht="33.75" customHeight="1" x14ac:dyDescent="0.2">
      <c r="A65" s="107" t="s">
        <v>76</v>
      </c>
      <c r="B65" s="93"/>
      <c r="C65" s="94" t="s">
        <v>240</v>
      </c>
      <c r="D65" s="567" t="s">
        <v>282</v>
      </c>
      <c r="E65" s="470"/>
      <c r="F65" s="470"/>
      <c r="G65" s="470"/>
      <c r="H65" s="470"/>
      <c r="I65" s="470"/>
      <c r="J65" s="470"/>
      <c r="K65" s="470"/>
      <c r="L65" s="470"/>
      <c r="M65" s="470"/>
      <c r="N65" s="471"/>
      <c r="O65" s="71"/>
      <c r="P65" s="95" t="str">
        <f t="shared" si="5"/>
        <v/>
      </c>
      <c r="Q65" s="173"/>
      <c r="R65"/>
      <c r="U65"/>
      <c r="V65"/>
      <c r="W65"/>
      <c r="X65"/>
      <c r="Y65"/>
      <c r="Z65"/>
      <c r="AA65"/>
      <c r="AB65"/>
    </row>
    <row r="66" spans="1:28" ht="49.5" customHeight="1" x14ac:dyDescent="0.2">
      <c r="A66" s="106">
        <v>1</v>
      </c>
      <c r="B66" s="93"/>
      <c r="C66" s="94" t="s">
        <v>241</v>
      </c>
      <c r="D66" s="567" t="s">
        <v>462</v>
      </c>
      <c r="E66" s="470"/>
      <c r="F66" s="470"/>
      <c r="G66" s="470"/>
      <c r="H66" s="470"/>
      <c r="I66" s="470"/>
      <c r="J66" s="470"/>
      <c r="K66" s="470"/>
      <c r="L66" s="470"/>
      <c r="M66" s="470"/>
      <c r="N66" s="471"/>
      <c r="O66" s="71"/>
      <c r="P66" s="95" t="str">
        <f t="shared" si="5"/>
        <v/>
      </c>
      <c r="Q66" s="173"/>
      <c r="R66"/>
      <c r="U66"/>
      <c r="V66"/>
      <c r="W66"/>
      <c r="X66"/>
      <c r="Y66"/>
      <c r="Z66"/>
      <c r="AA66"/>
      <c r="AB66"/>
    </row>
    <row r="67" spans="1:28" ht="35.25" customHeight="1" x14ac:dyDescent="0.2">
      <c r="A67" s="107" t="s">
        <v>73</v>
      </c>
      <c r="C67" s="148" t="s">
        <v>542</v>
      </c>
      <c r="D67" s="593" t="s">
        <v>464</v>
      </c>
      <c r="E67" s="470"/>
      <c r="F67" s="470"/>
      <c r="G67" s="470"/>
      <c r="H67" s="470"/>
      <c r="I67" s="470"/>
      <c r="J67" s="470"/>
      <c r="K67" s="470"/>
      <c r="L67" s="470"/>
      <c r="M67" s="470"/>
      <c r="N67" s="470"/>
      <c r="O67" s="71"/>
      <c r="P67" s="95" t="str">
        <f t="shared" si="5"/>
        <v/>
      </c>
      <c r="Q67" s="173"/>
      <c r="R67"/>
      <c r="U67"/>
      <c r="V67"/>
      <c r="W67"/>
      <c r="X67"/>
      <c r="Y67"/>
      <c r="Z67"/>
      <c r="AA67"/>
      <c r="AB67"/>
    </row>
    <row r="68" spans="1:28" ht="36" customHeight="1" x14ac:dyDescent="0.2">
      <c r="B68" s="93"/>
      <c r="C68" s="94" t="s">
        <v>242</v>
      </c>
      <c r="D68" s="469" t="s">
        <v>546</v>
      </c>
      <c r="E68" s="470"/>
      <c r="F68" s="470"/>
      <c r="G68" s="470"/>
      <c r="H68" s="470"/>
      <c r="I68" s="470"/>
      <c r="J68" s="470"/>
      <c r="K68" s="470"/>
      <c r="L68" s="470"/>
      <c r="M68" s="470"/>
      <c r="N68" s="471"/>
      <c r="O68" s="71"/>
      <c r="P68" s="95" t="str">
        <f t="shared" si="5"/>
        <v/>
      </c>
      <c r="Q68" s="173"/>
      <c r="R68"/>
      <c r="U68"/>
      <c r="V68"/>
      <c r="W68"/>
      <c r="X68"/>
      <c r="Y68"/>
      <c r="Z68"/>
      <c r="AA68"/>
      <c r="AB68"/>
    </row>
    <row r="69" spans="1:28" ht="52.5" customHeight="1" x14ac:dyDescent="0.2">
      <c r="C69" s="94" t="s">
        <v>243</v>
      </c>
      <c r="D69" s="469" t="s">
        <v>547</v>
      </c>
      <c r="E69" s="470"/>
      <c r="F69" s="470"/>
      <c r="G69" s="470"/>
      <c r="H69" s="470"/>
      <c r="I69" s="470"/>
      <c r="J69" s="470"/>
      <c r="K69" s="470"/>
      <c r="L69" s="470"/>
      <c r="M69" s="470"/>
      <c r="N69" s="471"/>
      <c r="O69" s="71"/>
      <c r="P69" s="95" t="str">
        <f t="shared" si="5"/>
        <v/>
      </c>
      <c r="Q69" s="173"/>
      <c r="R69"/>
      <c r="U69"/>
      <c r="V69"/>
      <c r="W69"/>
      <c r="X69"/>
      <c r="Y69"/>
      <c r="Z69"/>
      <c r="AA69"/>
      <c r="AB69"/>
    </row>
    <row r="70" spans="1:28" ht="21" customHeight="1" x14ac:dyDescent="0.25">
      <c r="A70" s="107" t="s">
        <v>70</v>
      </c>
      <c r="C70" s="608" t="s">
        <v>283</v>
      </c>
      <c r="D70" s="486"/>
      <c r="E70" s="486"/>
      <c r="F70" s="486"/>
      <c r="G70" s="486"/>
      <c r="H70" s="486"/>
      <c r="I70" s="486"/>
      <c r="J70" s="486"/>
      <c r="K70" s="486"/>
      <c r="L70" s="486"/>
      <c r="M70" s="486"/>
      <c r="N70" s="486"/>
      <c r="O70" s="348"/>
      <c r="P70" s="342"/>
      <c r="Q70" s="173"/>
      <c r="R70"/>
      <c r="U70"/>
      <c r="V70"/>
      <c r="W70"/>
      <c r="X70"/>
      <c r="Y70"/>
      <c r="Z70"/>
      <c r="AA70"/>
      <c r="AB70"/>
    </row>
    <row r="71" spans="1:28" ht="29.25" customHeight="1" x14ac:dyDescent="0.25">
      <c r="A71" s="107" t="s">
        <v>285</v>
      </c>
      <c r="B71" s="93"/>
      <c r="C71" s="581" t="s">
        <v>17</v>
      </c>
      <c r="D71" s="470"/>
      <c r="E71" s="470"/>
      <c r="F71" s="470"/>
      <c r="G71" s="470"/>
      <c r="H71" s="470"/>
      <c r="I71" s="470"/>
      <c r="J71" s="470"/>
      <c r="K71" s="470"/>
      <c r="L71" s="470"/>
      <c r="M71" s="470"/>
      <c r="N71" s="470"/>
      <c r="O71" s="345"/>
      <c r="Q71" s="352"/>
      <c r="R71"/>
      <c r="U71"/>
      <c r="V71"/>
      <c r="W71"/>
      <c r="X71"/>
      <c r="Y71"/>
      <c r="Z71"/>
      <c r="AA71"/>
      <c r="AB71"/>
    </row>
    <row r="72" spans="1:28" ht="21.75" customHeight="1" x14ac:dyDescent="0.25">
      <c r="A72" s="107" t="s">
        <v>76</v>
      </c>
      <c r="B72" s="107" t="s">
        <v>286</v>
      </c>
      <c r="C72" s="100" t="s">
        <v>264</v>
      </c>
      <c r="D72" s="573" t="s">
        <v>77</v>
      </c>
      <c r="E72" s="574"/>
      <c r="F72" s="574"/>
      <c r="G72" s="574"/>
      <c r="H72" s="574"/>
      <c r="I72" s="574"/>
      <c r="J72" s="574"/>
      <c r="K72" s="574"/>
      <c r="L72" s="574"/>
      <c r="M72" s="574"/>
      <c r="N72" s="574"/>
      <c r="O72" s="101" t="s">
        <v>265</v>
      </c>
      <c r="P72" s="101" t="s">
        <v>266</v>
      </c>
      <c r="Q72" s="172"/>
      <c r="R72"/>
      <c r="U72"/>
      <c r="V72"/>
      <c r="W72"/>
      <c r="X72"/>
      <c r="Y72"/>
      <c r="Z72"/>
      <c r="AA72"/>
      <c r="AB72"/>
    </row>
    <row r="73" spans="1:28" ht="36" customHeight="1" x14ac:dyDescent="0.2">
      <c r="A73" s="107" t="s">
        <v>287</v>
      </c>
      <c r="B73" s="107" t="s">
        <v>80</v>
      </c>
      <c r="C73" s="102" t="s">
        <v>245</v>
      </c>
      <c r="D73" s="607" t="s">
        <v>284</v>
      </c>
      <c r="E73" s="470"/>
      <c r="F73" s="470"/>
      <c r="G73" s="470"/>
      <c r="H73" s="470"/>
      <c r="I73" s="470"/>
      <c r="J73" s="470"/>
      <c r="K73" s="470"/>
      <c r="L73" s="470"/>
      <c r="M73" s="470"/>
      <c r="N73" s="470"/>
      <c r="O73" s="71"/>
      <c r="P73" s="95" t="str">
        <f>IF(O73="","",IF(O73="Yes","Fail",IF(O73="No","Pass","N/A")))</f>
        <v/>
      </c>
      <c r="R73"/>
      <c r="U73"/>
      <c r="V73"/>
      <c r="W73"/>
      <c r="X73"/>
      <c r="Y73"/>
      <c r="Z73"/>
      <c r="AA73"/>
      <c r="AB73"/>
    </row>
    <row r="74" spans="1:28" ht="189" customHeight="1" x14ac:dyDescent="0.2">
      <c r="A74" s="107" t="s">
        <v>288</v>
      </c>
      <c r="B74" s="93"/>
      <c r="C74" s="102" t="s">
        <v>246</v>
      </c>
      <c r="D74" s="609" t="s">
        <v>552</v>
      </c>
      <c r="E74" s="470"/>
      <c r="F74" s="470"/>
      <c r="G74" s="470"/>
      <c r="H74" s="470"/>
      <c r="I74" s="470"/>
      <c r="J74" s="470"/>
      <c r="K74" s="470"/>
      <c r="L74" s="470"/>
      <c r="M74" s="470"/>
      <c r="N74" s="470"/>
      <c r="O74" s="71"/>
      <c r="P74" s="95" t="str">
        <f>IF(O74="","",IF(O74="Yes","Fail",IF(O74="No","Pass","N/A")))</f>
        <v/>
      </c>
      <c r="Q74" s="359"/>
      <c r="R74"/>
      <c r="U74"/>
      <c r="V74"/>
      <c r="W74"/>
      <c r="X74"/>
      <c r="Y74"/>
      <c r="Z74"/>
      <c r="AA74"/>
      <c r="AB74"/>
    </row>
    <row r="75" spans="1:28" ht="94.5" customHeight="1" x14ac:dyDescent="0.2">
      <c r="A75" s="107" t="s">
        <v>81</v>
      </c>
      <c r="B75" s="93"/>
      <c r="C75" s="102" t="s">
        <v>247</v>
      </c>
      <c r="D75" s="609" t="s">
        <v>551</v>
      </c>
      <c r="E75" s="470"/>
      <c r="F75" s="470"/>
      <c r="G75" s="470"/>
      <c r="H75" s="470"/>
      <c r="I75" s="470"/>
      <c r="J75" s="470"/>
      <c r="K75" s="470"/>
      <c r="L75" s="470"/>
      <c r="M75" s="470"/>
      <c r="N75" s="470"/>
      <c r="O75" s="71"/>
      <c r="P75" s="95" t="str">
        <f t="shared" ref="P75:P82" si="6">IF(O75="","",IF(O75="Yes","Pass",IF(O75="No","Fail","N/A")))</f>
        <v/>
      </c>
      <c r="Q75" s="173"/>
      <c r="R75"/>
      <c r="U75"/>
      <c r="V75"/>
      <c r="W75"/>
      <c r="X75"/>
      <c r="Y75"/>
      <c r="Z75"/>
      <c r="AA75"/>
      <c r="AB75"/>
    </row>
    <row r="76" spans="1:28" ht="126" customHeight="1" x14ac:dyDescent="0.2">
      <c r="A76" s="107" t="s">
        <v>69</v>
      </c>
      <c r="B76" s="93"/>
      <c r="C76" s="102" t="s">
        <v>248</v>
      </c>
      <c r="D76" s="579" t="s">
        <v>550</v>
      </c>
      <c r="E76" s="572"/>
      <c r="F76" s="572"/>
      <c r="G76" s="572"/>
      <c r="H76" s="572"/>
      <c r="I76" s="572"/>
      <c r="J76" s="572"/>
      <c r="K76" s="572"/>
      <c r="L76" s="572"/>
      <c r="M76" s="572"/>
      <c r="N76" s="572"/>
      <c r="O76" s="71"/>
      <c r="P76" s="95" t="str">
        <f t="shared" si="6"/>
        <v/>
      </c>
      <c r="Q76" s="173"/>
      <c r="R76"/>
      <c r="U76"/>
      <c r="V76"/>
      <c r="W76"/>
      <c r="X76"/>
      <c r="Y76"/>
      <c r="Z76"/>
      <c r="AA76"/>
      <c r="AB76"/>
    </row>
    <row r="77" spans="1:28" ht="78" customHeight="1" x14ac:dyDescent="0.2">
      <c r="A77" s="107" t="s">
        <v>288</v>
      </c>
      <c r="B77" s="93"/>
      <c r="C77" s="102" t="s">
        <v>249</v>
      </c>
      <c r="D77" s="579" t="s">
        <v>289</v>
      </c>
      <c r="E77" s="572"/>
      <c r="F77" s="572"/>
      <c r="G77" s="572"/>
      <c r="H77" s="572"/>
      <c r="I77" s="572"/>
      <c r="J77" s="572"/>
      <c r="K77" s="572"/>
      <c r="L77" s="572"/>
      <c r="M77" s="572"/>
      <c r="N77" s="582"/>
      <c r="O77" s="71"/>
      <c r="P77" s="95" t="str">
        <f t="shared" si="6"/>
        <v/>
      </c>
      <c r="Q77" s="173"/>
      <c r="R77"/>
      <c r="U77"/>
      <c r="V77"/>
      <c r="W77"/>
      <c r="X77"/>
      <c r="Y77"/>
      <c r="Z77"/>
      <c r="AA77"/>
      <c r="AB77"/>
    </row>
    <row r="78" spans="1:28" ht="108.75" customHeight="1" x14ac:dyDescent="0.2">
      <c r="A78" s="107" t="s">
        <v>73</v>
      </c>
      <c r="B78" s="93"/>
      <c r="C78" s="102" t="s">
        <v>250</v>
      </c>
      <c r="D78" s="579" t="s">
        <v>543</v>
      </c>
      <c r="E78" s="572"/>
      <c r="F78" s="572"/>
      <c r="G78" s="572"/>
      <c r="H78" s="572"/>
      <c r="I78" s="572"/>
      <c r="J78" s="572"/>
      <c r="K78" s="572"/>
      <c r="L78" s="572"/>
      <c r="M78" s="572"/>
      <c r="N78" s="582"/>
      <c r="O78" s="71"/>
      <c r="P78" s="95" t="str">
        <f t="shared" si="6"/>
        <v/>
      </c>
      <c r="Q78" s="173"/>
      <c r="R78"/>
      <c r="U78"/>
      <c r="V78"/>
      <c r="W78"/>
      <c r="X78"/>
      <c r="Y78"/>
      <c r="Z78"/>
      <c r="AA78"/>
      <c r="AB78"/>
    </row>
    <row r="79" spans="1:28" ht="36" customHeight="1" x14ac:dyDescent="0.2">
      <c r="A79" s="107" t="s">
        <v>81</v>
      </c>
      <c r="B79" s="93"/>
      <c r="C79" s="102" t="s">
        <v>251</v>
      </c>
      <c r="D79" s="567" t="s">
        <v>290</v>
      </c>
      <c r="E79" s="572"/>
      <c r="F79" s="572"/>
      <c r="G79" s="572"/>
      <c r="H79" s="572"/>
      <c r="I79" s="572"/>
      <c r="J79" s="572"/>
      <c r="K79" s="572"/>
      <c r="L79" s="572"/>
      <c r="M79" s="572"/>
      <c r="N79" s="582"/>
      <c r="O79" s="71"/>
      <c r="P79" s="95" t="str">
        <f t="shared" si="6"/>
        <v/>
      </c>
      <c r="Q79" s="173"/>
      <c r="R79"/>
      <c r="U79"/>
      <c r="V79"/>
      <c r="W79"/>
      <c r="X79"/>
      <c r="Y79"/>
      <c r="Z79"/>
      <c r="AA79"/>
      <c r="AB79"/>
    </row>
    <row r="80" spans="1:28" ht="91.5" customHeight="1" x14ac:dyDescent="0.2">
      <c r="A80" s="107" t="s">
        <v>81</v>
      </c>
      <c r="B80" s="93"/>
      <c r="C80" s="102" t="s">
        <v>252</v>
      </c>
      <c r="D80" s="579" t="s">
        <v>549</v>
      </c>
      <c r="E80" s="572"/>
      <c r="F80" s="572"/>
      <c r="G80" s="572"/>
      <c r="H80" s="572"/>
      <c r="I80" s="572"/>
      <c r="J80" s="572"/>
      <c r="K80" s="572"/>
      <c r="L80" s="572"/>
      <c r="M80" s="572"/>
      <c r="N80" s="582"/>
      <c r="O80" s="71"/>
      <c r="P80" s="95" t="str">
        <f t="shared" si="6"/>
        <v/>
      </c>
      <c r="Q80" s="173"/>
      <c r="R80"/>
      <c r="U80"/>
      <c r="V80"/>
      <c r="W80"/>
      <c r="X80"/>
      <c r="Y80"/>
      <c r="Z80"/>
      <c r="AA80"/>
      <c r="AB80"/>
    </row>
    <row r="81" spans="1:18" ht="61.5" customHeight="1" x14ac:dyDescent="0.2">
      <c r="A81" s="107" t="s">
        <v>288</v>
      </c>
      <c r="B81" s="93"/>
      <c r="C81" s="102" t="s">
        <v>253</v>
      </c>
      <c r="D81" s="579" t="s">
        <v>291</v>
      </c>
      <c r="E81" s="572"/>
      <c r="F81" s="572"/>
      <c r="G81" s="572"/>
      <c r="H81" s="572"/>
      <c r="I81" s="572"/>
      <c r="J81" s="572"/>
      <c r="K81" s="572"/>
      <c r="L81" s="572"/>
      <c r="M81" s="572"/>
      <c r="N81" s="582"/>
      <c r="O81" s="71"/>
      <c r="P81" s="95" t="str">
        <f t="shared" si="6"/>
        <v/>
      </c>
      <c r="Q81"/>
      <c r="R81"/>
    </row>
    <row r="82" spans="1:18" ht="78.75" customHeight="1" x14ac:dyDescent="0.2">
      <c r="A82" s="106">
        <v>1</v>
      </c>
      <c r="B82" s="93"/>
      <c r="C82" s="102" t="s">
        <v>254</v>
      </c>
      <c r="D82" s="609" t="s">
        <v>548</v>
      </c>
      <c r="E82" s="470"/>
      <c r="F82" s="470"/>
      <c r="G82" s="470"/>
      <c r="H82" s="470"/>
      <c r="I82" s="470"/>
      <c r="J82" s="470"/>
      <c r="K82" s="470"/>
      <c r="L82" s="470"/>
      <c r="M82" s="470"/>
      <c r="N82" s="471"/>
      <c r="O82" s="71"/>
      <c r="P82" s="95" t="str">
        <f t="shared" si="6"/>
        <v/>
      </c>
      <c r="Q82"/>
      <c r="R82"/>
    </row>
    <row r="83" spans="1:18" ht="20.25" customHeight="1" x14ac:dyDescent="0.2">
      <c r="A83" s="107" t="s">
        <v>73</v>
      </c>
      <c r="C83" s="469" t="s">
        <v>292</v>
      </c>
      <c r="D83" s="470"/>
      <c r="E83" s="470"/>
      <c r="F83" s="470"/>
      <c r="G83" s="470"/>
      <c r="H83" s="470"/>
      <c r="I83" s="470"/>
      <c r="J83" s="470"/>
      <c r="K83" s="470"/>
      <c r="L83" s="470"/>
      <c r="M83" s="470"/>
      <c r="N83" s="470"/>
      <c r="O83" s="346"/>
      <c r="P83" s="95"/>
      <c r="Q83"/>
      <c r="R83"/>
    </row>
    <row r="84" spans="1:18" ht="21" customHeight="1" x14ac:dyDescent="0.2">
      <c r="B84" s="93"/>
      <c r="C84" s="581" t="s">
        <v>17</v>
      </c>
      <c r="D84" s="470"/>
      <c r="E84" s="470"/>
      <c r="F84" s="470"/>
      <c r="G84" s="470"/>
      <c r="H84" s="470"/>
      <c r="I84" s="470"/>
      <c r="J84" s="470"/>
      <c r="K84" s="470"/>
      <c r="L84" s="470"/>
      <c r="M84" s="470"/>
      <c r="N84" s="470"/>
      <c r="O84" s="345"/>
      <c r="P84" s="346"/>
      <c r="Q84"/>
      <c r="R84"/>
    </row>
    <row r="85" spans="1:18" ht="18" x14ac:dyDescent="0.2">
      <c r="P85" s="345"/>
      <c r="Q85" s="173"/>
      <c r="R85" s="173"/>
    </row>
    <row r="86" spans="1:18" ht="18" x14ac:dyDescent="0.2">
      <c r="P86" s="105"/>
      <c r="Q86" s="173"/>
      <c r="R86" s="173"/>
    </row>
    <row r="87" spans="1:18" x14ac:dyDescent="0.2">
      <c r="P87" s="105"/>
      <c r="Q87" s="105"/>
      <c r="R87" s="105"/>
    </row>
    <row r="88" spans="1:18" x14ac:dyDescent="0.2">
      <c r="Q88" s="105"/>
      <c r="R88" s="105"/>
    </row>
    <row r="89" spans="1:18" x14ac:dyDescent="0.2">
      <c r="Q89" s="105"/>
      <c r="R89" s="105"/>
    </row>
    <row r="90" spans="1:18" x14ac:dyDescent="0.2">
      <c r="Q90" s="105"/>
      <c r="R90" s="105"/>
    </row>
  </sheetData>
  <sheetProtection algorithmName="SHA-512" hashValue="D3Vtn0TQ4xT7Ummew4FGjINjXVR5oYraiHxSwGvToICl/Gj1q3BJgLg0ShJQsNY2WnAfh1iKY0SDA1/r8dQ4EQ==" saltValue="PfexlvspLcqNne1Jh8v9cg==" spinCount="100000" sheet="1" objects="1" scenarios="1"/>
  <mergeCells count="83">
    <mergeCell ref="D82:N82"/>
    <mergeCell ref="C83:N83"/>
    <mergeCell ref="C84:N84"/>
    <mergeCell ref="D60:N60"/>
    <mergeCell ref="C61:N61"/>
    <mergeCell ref="C62:N62"/>
    <mergeCell ref="D69:N69"/>
    <mergeCell ref="C70:N70"/>
    <mergeCell ref="D73:N73"/>
    <mergeCell ref="D74:N74"/>
    <mergeCell ref="D64:N64"/>
    <mergeCell ref="D63:N63"/>
    <mergeCell ref="D72:N72"/>
    <mergeCell ref="D65:N65"/>
    <mergeCell ref="D66:N66"/>
    <mergeCell ref="D67:N67"/>
    <mergeCell ref="C28:N28"/>
    <mergeCell ref="D33:N33"/>
    <mergeCell ref="C34:N34"/>
    <mergeCell ref="C35:N35"/>
    <mergeCell ref="D37:N37"/>
    <mergeCell ref="D31:N31"/>
    <mergeCell ref="D32:N32"/>
    <mergeCell ref="D36:N36"/>
    <mergeCell ref="K2:L2"/>
    <mergeCell ref="C1:G1"/>
    <mergeCell ref="C2:G2"/>
    <mergeCell ref="D14:N14"/>
    <mergeCell ref="D8:N8"/>
    <mergeCell ref="D9:N9"/>
    <mergeCell ref="D10:N10"/>
    <mergeCell ref="D11:N11"/>
    <mergeCell ref="D12:N12"/>
    <mergeCell ref="D13:N13"/>
    <mergeCell ref="E5:G5"/>
    <mergeCell ref="D19:N19"/>
    <mergeCell ref="C20:N20"/>
    <mergeCell ref="C21:N21"/>
    <mergeCell ref="D26:N26"/>
    <mergeCell ref="C27:N27"/>
    <mergeCell ref="D52:N52"/>
    <mergeCell ref="D42:N42"/>
    <mergeCell ref="D46:N46"/>
    <mergeCell ref="D47:N47"/>
    <mergeCell ref="D48:N48"/>
    <mergeCell ref="D43:N43"/>
    <mergeCell ref="D44:N44"/>
    <mergeCell ref="D45:N45"/>
    <mergeCell ref="D49:N49"/>
    <mergeCell ref="C50:N50"/>
    <mergeCell ref="C51:N51"/>
    <mergeCell ref="S1:U1"/>
    <mergeCell ref="T4:U4"/>
    <mergeCell ref="D41:N41"/>
    <mergeCell ref="D40:N40"/>
    <mergeCell ref="D39:N39"/>
    <mergeCell ref="D23:N23"/>
    <mergeCell ref="K1:L1"/>
    <mergeCell ref="D30:N30"/>
    <mergeCell ref="D29:N29"/>
    <mergeCell ref="D15:N15"/>
    <mergeCell ref="D16:N16"/>
    <mergeCell ref="D17:N17"/>
    <mergeCell ref="D18:N18"/>
    <mergeCell ref="D22:N22"/>
    <mergeCell ref="D24:N24"/>
    <mergeCell ref="D25:N25"/>
    <mergeCell ref="D56:N56"/>
    <mergeCell ref="D57:N57"/>
    <mergeCell ref="D53:N53"/>
    <mergeCell ref="D58:N58"/>
    <mergeCell ref="D59:N59"/>
    <mergeCell ref="D54:N54"/>
    <mergeCell ref="D55:N55"/>
    <mergeCell ref="D68:N68"/>
    <mergeCell ref="C71:N71"/>
    <mergeCell ref="D81:N81"/>
    <mergeCell ref="D78:N78"/>
    <mergeCell ref="D80:N80"/>
    <mergeCell ref="D75:N75"/>
    <mergeCell ref="D76:N76"/>
    <mergeCell ref="D77:N77"/>
    <mergeCell ref="D79:N79"/>
  </mergeCells>
  <conditionalFormatting sqref="M5">
    <cfRule type="containsText" dxfId="9" priority="4" operator="containsText" text="Fail">
      <formula>NOT(ISERROR(SEARCH("Fail",M5)))</formula>
    </cfRule>
  </conditionalFormatting>
  <conditionalFormatting sqref="P8:R19 P20 P22:R26 P29:R33 Q34:Q46 P36:P37 P39:P49 Q51:Q59 P52:P60 P63:P69 Q63:Q70 P72:P83 Q74:Q80">
    <cfRule type="containsText" dxfId="8" priority="1" operator="containsText" text="Fail">
      <formula>NOT(ISERROR(SEARCH("Fail",P8)))</formula>
    </cfRule>
  </conditionalFormatting>
  <conditionalFormatting sqref="Q85:R86">
    <cfRule type="containsText" dxfId="7" priority="6" operator="containsText" text="Fail">
      <formula>NOT(ISERROR(SEARCH("Fail",Q85)))</formula>
    </cfRule>
  </conditionalFormatting>
  <conditionalFormatting sqref="U1:U3 T4">
    <cfRule type="containsText" dxfId="6" priority="2" operator="containsText" text="Fail">
      <formula>NOT(ISERROR(SEARCH("Fail",T1)))</formula>
    </cfRule>
  </conditionalFormatting>
  <conditionalFormatting sqref="AE9">
    <cfRule type="containsText" dxfId="5" priority="5" operator="containsText" text="Fail">
      <formula>NOT(ISERROR(SEARCH("Fail",AE9)))</formula>
    </cfRule>
  </conditionalFormatting>
  <dataValidations count="4">
    <dataValidation type="whole" operator="greaterThan" allowBlank="1" showInputMessage="1" showErrorMessage="1" sqref="X9:X34" xr:uid="{434F3CA1-0B2F-4571-BC3D-A485E5D0F9A8}">
      <formula1>0</formula1>
    </dataValidation>
    <dataValidation type="date" operator="greaterThan" allowBlank="1" showInputMessage="1" showErrorMessage="1" sqref="W9:W34" xr:uid="{34C79693-639E-4F23-A4C2-9FD6930E85DD}">
      <formula1>36526</formula1>
    </dataValidation>
    <dataValidation type="list" showErrorMessage="1" errorTitle="Invalid Selection" error="Select either Yes, No, or N/A from the dropdown list. Click &quot;Cancel&quot; below, then update selection." sqref="O73:O82 O23:O26 O53:O60 O39:O49 O64:O69 O37 O30:O33 O9:O19" xr:uid="{4C8F5DAB-9156-491E-984D-9B756FAEFE47}">
      <formula1>"Yes,No,N/A"</formula1>
    </dataValidation>
    <dataValidation type="decimal" operator="greaterThanOrEqual" allowBlank="1" showInputMessage="1" showErrorMessage="1" errorTitle="Input Error" error="Insert the claimed amount with dollars and cents in $0.00 format. Click &quot;Cancel&quot; below and try again." sqref="Y9:Y34" xr:uid="{DA829F22-36B0-4ABD-9748-EB14CF189476}">
      <formula1>0</formula1>
    </dataValidation>
  </dataValidations>
  <pageMargins left="0.7" right="0.7" top="1" bottom="0.75" header="0.3" footer="0.3"/>
  <pageSetup scale="70" fitToHeight="0" orientation="portrait" r:id="rId1"/>
  <headerFooter>
    <oddHeader>&amp;CConfidential QI Report
San Diego County Mental Health Plan
Behavioral Health Services
Fiscal Year 23-24</oddHeader>
    <oddFooter>&amp;LFY 23-24 Medical Record Review Report - Excel - Rev. 7-1-23</oddFooter>
  </headerFooter>
  <colBreaks count="1" manualBreakCount="1">
    <brk id="16" max="84"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9352FA5C-6951-4510-93DD-26ED7C587230}">
          <x14:formula1>
            <xm:f>Validations!$E$4:$E$15</xm:f>
          </x14:formula1>
          <xm:sqref>Z9:Z34</xm:sqref>
        </x14:dataValidation>
        <x14:dataValidation type="list" allowBlank="1" showInputMessage="1" showErrorMessage="1" xr:uid="{13EB07FA-5037-4D05-BC37-B488E8F5184F}">
          <x14:formula1>
            <xm:f>Validations!$D$4:$D$7</xm:f>
          </x14:formula1>
          <xm:sqref>AA9:AA34</xm:sqref>
        </x14:dataValidation>
        <x14:dataValidation type="list" allowBlank="1" showInputMessage="1" showErrorMessage="1" xr:uid="{1858E67B-C719-4389-8732-65EEB1099CE1}">
          <x14:formula1>
            <xm:f>Validations!$C$4:$C$54</xm:f>
          </x14:formula1>
          <xm:sqref>V9:V34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6EA6A-46D8-4A3A-BA83-54B463442129}">
  <sheetPr codeName="Sheet22">
    <tabColor theme="3" tint="0.39997558519241921"/>
  </sheetPr>
  <dimension ref="A1:AE90"/>
  <sheetViews>
    <sheetView showGridLines="0" view="pageBreakPreview" topLeftCell="A76" zoomScale="92" zoomScaleNormal="80" zoomScaleSheetLayoutView="92" workbookViewId="0">
      <selection activeCell="D12" sqref="D12:N12"/>
    </sheetView>
  </sheetViews>
  <sheetFormatPr defaultColWidth="9.5703125" defaultRowHeight="15" x14ac:dyDescent="0.2"/>
  <cols>
    <col min="1" max="1" width="7.7109375" style="106" customWidth="1"/>
    <col min="2" max="2" width="8.42578125" style="4" customWidth="1"/>
    <col min="3" max="3" width="8.42578125" style="5" customWidth="1"/>
    <col min="4" max="4" width="2.5703125" style="1" customWidth="1"/>
    <col min="5" max="5" width="7.140625" style="1" customWidth="1"/>
    <col min="6" max="6" width="8.5703125" style="1" customWidth="1"/>
    <col min="7" max="7" width="6.42578125" style="1" customWidth="1"/>
    <col min="8" max="8" width="4.7109375" style="1" customWidth="1"/>
    <col min="9" max="9" width="27.28515625" style="1" customWidth="1"/>
    <col min="10" max="10" width="2.5703125" style="1" customWidth="1"/>
    <col min="11" max="11" width="18.140625" style="1" customWidth="1"/>
    <col min="12" max="12" width="3.42578125" style="1" customWidth="1"/>
    <col min="13" max="13" width="12.140625" style="1" customWidth="1"/>
    <col min="14" max="14" width="9.5703125" style="1" customWidth="1"/>
    <col min="15" max="15" width="13.28515625" style="1" customWidth="1"/>
    <col min="16" max="16" width="8.7109375" style="1" hidden="1" customWidth="1"/>
    <col min="17" max="18" width="1.85546875" style="1" customWidth="1"/>
    <col min="19" max="19" width="11.7109375" customWidth="1"/>
    <col min="20" max="20" width="10" customWidth="1"/>
    <col min="21" max="21" width="13.7109375" style="1" customWidth="1"/>
    <col min="22" max="22" width="23.42578125" style="1" customWidth="1"/>
    <col min="23" max="23" width="12.42578125" style="1" customWidth="1"/>
    <col min="24" max="25" width="9.5703125" style="1"/>
    <col min="26" max="26" width="12.140625" style="1" customWidth="1"/>
    <col min="27" max="27" width="15.7109375" style="1" customWidth="1"/>
    <col min="28" max="28" width="21.42578125" style="1" customWidth="1"/>
    <col min="29" max="16384" width="9.5703125" style="1"/>
  </cols>
  <sheetData>
    <row r="1" spans="1:31" s="5" customFormat="1" ht="15.75" x14ac:dyDescent="0.25">
      <c r="A1" s="106"/>
      <c r="B1" s="4"/>
      <c r="C1" s="560" t="s">
        <v>338</v>
      </c>
      <c r="D1" s="561"/>
      <c r="E1" s="561"/>
      <c r="F1" s="561"/>
      <c r="G1" s="562"/>
      <c r="H1"/>
      <c r="I1" s="86" t="s">
        <v>38</v>
      </c>
      <c r="J1" s="153"/>
      <c r="K1" s="560" t="s">
        <v>12</v>
      </c>
      <c r="L1" s="562"/>
      <c r="N1"/>
      <c r="O1"/>
      <c r="P1"/>
      <c r="Q1"/>
      <c r="R1"/>
      <c r="S1" s="560" t="s">
        <v>260</v>
      </c>
      <c r="T1" s="561"/>
      <c r="U1" s="562"/>
      <c r="V1"/>
      <c r="W1"/>
      <c r="X1"/>
      <c r="Y1"/>
      <c r="Z1"/>
      <c r="AA1"/>
      <c r="AB1"/>
    </row>
    <row r="2" spans="1:31" s="5" customFormat="1" ht="15" customHeight="1" x14ac:dyDescent="0.2">
      <c r="A2" s="106"/>
      <c r="B2" s="4"/>
      <c r="C2" s="583">
        <f>'Chart Review Info'!D3</f>
        <v>0</v>
      </c>
      <c r="D2" s="584"/>
      <c r="E2" s="584"/>
      <c r="F2" s="584"/>
      <c r="G2" s="585"/>
      <c r="H2"/>
      <c r="I2" s="150">
        <f>'Chart Review Info'!D4</f>
        <v>0</v>
      </c>
      <c r="J2" s="153"/>
      <c r="K2" s="592">
        <f>'Chart Review Info'!F33</f>
        <v>0</v>
      </c>
      <c r="L2" s="591"/>
      <c r="N2"/>
      <c r="O2"/>
      <c r="P2"/>
      <c r="Q2"/>
      <c r="R2"/>
      <c r="S2" s="55">
        <f>'Chart Review Info'!G4</f>
        <v>0</v>
      </c>
      <c r="T2" s="82" t="s">
        <v>261</v>
      </c>
      <c r="U2" s="83">
        <f>'Chart Review Info'!G5</f>
        <v>0</v>
      </c>
      <c r="V2"/>
      <c r="W2"/>
      <c r="X2"/>
      <c r="Y2"/>
      <c r="Z2"/>
      <c r="AA2"/>
      <c r="AB2"/>
    </row>
    <row r="3" spans="1:31" s="5" customFormat="1" x14ac:dyDescent="0.2">
      <c r="A3" s="106"/>
      <c r="B3" s="4"/>
      <c r="C3" s="84"/>
      <c r="H3"/>
      <c r="J3" s="98"/>
      <c r="V3"/>
      <c r="W3"/>
      <c r="X3"/>
      <c r="Y3"/>
      <c r="Z3"/>
      <c r="AA3"/>
      <c r="AB3"/>
    </row>
    <row r="4" spans="1:31" s="5" customFormat="1" ht="15.75" x14ac:dyDescent="0.25">
      <c r="A4" s="106"/>
      <c r="B4" s="4"/>
      <c r="C4" s="85" t="s">
        <v>202</v>
      </c>
      <c r="E4" s="85" t="s">
        <v>86</v>
      </c>
      <c r="F4" s="86"/>
      <c r="G4" s="85"/>
      <c r="H4"/>
      <c r="I4" s="151" t="s">
        <v>350</v>
      </c>
      <c r="J4" s="98"/>
      <c r="K4" s="87" t="s">
        <v>260</v>
      </c>
      <c r="L4" s="88"/>
      <c r="O4" s="86" t="s">
        <v>294</v>
      </c>
      <c r="P4"/>
      <c r="Q4"/>
      <c r="R4"/>
      <c r="S4" s="85" t="s">
        <v>12</v>
      </c>
      <c r="T4" s="563">
        <f>Prog_20</f>
        <v>0</v>
      </c>
      <c r="U4" s="564"/>
      <c r="V4"/>
      <c r="W4"/>
      <c r="X4"/>
      <c r="Y4"/>
      <c r="Z4"/>
      <c r="AA4"/>
      <c r="AB4"/>
    </row>
    <row r="5" spans="1:31" s="5" customFormat="1" x14ac:dyDescent="0.2">
      <c r="A5" s="106"/>
      <c r="B5" s="4"/>
      <c r="C5" s="54">
        <v>20</v>
      </c>
      <c r="E5" s="589" t="str">
        <f>'Chart Review Info'!C33</f>
        <v>N/A</v>
      </c>
      <c r="F5" s="590"/>
      <c r="G5" s="591"/>
      <c r="H5"/>
      <c r="I5" s="152">
        <f>Consum_20</f>
        <v>0</v>
      </c>
      <c r="J5" s="98"/>
      <c r="K5" s="293">
        <f>'Chart Review Info'!G4</f>
        <v>0</v>
      </c>
      <c r="L5" s="102" t="s">
        <v>261</v>
      </c>
      <c r="M5" s="293">
        <f>'Chart Review Info'!G5</f>
        <v>0</v>
      </c>
      <c r="O5" s="54">
        <f>'Chart Review Info'!G33</f>
        <v>0</v>
      </c>
      <c r="P5"/>
      <c r="Q5"/>
      <c r="R5"/>
      <c r="S5"/>
      <c r="T5"/>
      <c r="V5"/>
      <c r="W5"/>
      <c r="X5"/>
      <c r="Y5" s="6" t="s">
        <v>514</v>
      </c>
      <c r="Z5"/>
      <c r="AA5"/>
      <c r="AB5"/>
    </row>
    <row r="6" spans="1:31" x14ac:dyDescent="0.2">
      <c r="C6" s="154"/>
      <c r="D6" s="158"/>
      <c r="E6" s="155"/>
      <c r="F6" s="155"/>
      <c r="G6" s="155"/>
      <c r="H6" s="155"/>
      <c r="I6" s="155"/>
      <c r="J6" s="155"/>
      <c r="K6" s="155"/>
      <c r="L6" s="155"/>
      <c r="M6" s="155"/>
      <c r="N6" s="155"/>
      <c r="O6" s="155"/>
      <c r="P6" s="155"/>
      <c r="Q6" s="155"/>
      <c r="R6" s="155"/>
      <c r="T6" s="1"/>
      <c r="W6" s="51"/>
      <c r="Y6" s="329">
        <f>SUM(Y9:Y16)</f>
        <v>0</v>
      </c>
      <c r="AA6" s="13"/>
      <c r="AB6" s="13"/>
    </row>
    <row r="7" spans="1:31" ht="23.25" x14ac:dyDescent="0.25">
      <c r="C7" s="89" t="s">
        <v>262</v>
      </c>
      <c r="D7" s="159"/>
      <c r="E7" s="90"/>
      <c r="F7" s="90"/>
      <c r="G7" s="90"/>
      <c r="H7" s="90"/>
      <c r="I7" s="90"/>
      <c r="J7" s="90"/>
      <c r="K7" s="90"/>
      <c r="L7" s="90"/>
      <c r="M7" s="90"/>
      <c r="N7" s="90"/>
      <c r="O7" s="90"/>
      <c r="P7" s="90"/>
      <c r="S7" s="20"/>
      <c r="T7" s="21"/>
      <c r="U7" s="21"/>
      <c r="V7" s="21"/>
      <c r="W7" s="21"/>
      <c r="X7" s="160" t="s">
        <v>263</v>
      </c>
      <c r="Y7" s="160"/>
      <c r="Z7" s="160"/>
      <c r="AA7" s="22"/>
      <c r="AB7" s="23"/>
    </row>
    <row r="8" spans="1:31" ht="27" customHeight="1" x14ac:dyDescent="0.25">
      <c r="C8" s="91" t="s">
        <v>264</v>
      </c>
      <c r="D8" s="588" t="s">
        <v>68</v>
      </c>
      <c r="E8" s="574"/>
      <c r="F8" s="574"/>
      <c r="G8" s="574"/>
      <c r="H8" s="574"/>
      <c r="I8" s="574"/>
      <c r="J8" s="574"/>
      <c r="K8" s="574"/>
      <c r="L8" s="574"/>
      <c r="M8" s="574"/>
      <c r="N8" s="574"/>
      <c r="O8" s="92" t="s">
        <v>265</v>
      </c>
      <c r="P8" s="92" t="s">
        <v>266</v>
      </c>
      <c r="Q8" s="359"/>
      <c r="R8" s="351"/>
      <c r="S8" s="7" t="s">
        <v>449</v>
      </c>
      <c r="T8" s="9" t="s">
        <v>87</v>
      </c>
      <c r="U8" s="7" t="s">
        <v>88</v>
      </c>
      <c r="V8" s="7" t="s">
        <v>89</v>
      </c>
      <c r="W8" s="7" t="s">
        <v>90</v>
      </c>
      <c r="X8" s="7" t="s">
        <v>644</v>
      </c>
      <c r="Y8" s="8" t="s">
        <v>201</v>
      </c>
      <c r="Z8" s="116" t="s">
        <v>91</v>
      </c>
      <c r="AA8" s="117" t="s">
        <v>95</v>
      </c>
      <c r="AB8" s="117" t="s">
        <v>92</v>
      </c>
    </row>
    <row r="9" spans="1:31" ht="60" customHeight="1" x14ac:dyDescent="0.2">
      <c r="A9" s="212" t="s">
        <v>73</v>
      </c>
      <c r="B9" s="93"/>
      <c r="C9" s="94" t="s">
        <v>204</v>
      </c>
      <c r="D9" s="567" t="s">
        <v>658</v>
      </c>
      <c r="E9" s="470"/>
      <c r="F9" s="470"/>
      <c r="G9" s="470"/>
      <c r="H9" s="470"/>
      <c r="I9" s="470"/>
      <c r="J9" s="470"/>
      <c r="K9" s="470"/>
      <c r="L9" s="470"/>
      <c r="M9" s="470"/>
      <c r="N9" s="471"/>
      <c r="O9" s="71"/>
      <c r="P9" s="95" t="str">
        <f t="shared" ref="P9:P12" si="0">IF(O9="","",IF(O9="Yes","Pass",IF(O9="No","Fail","N/A")))</f>
        <v/>
      </c>
      <c r="Q9" s="173"/>
      <c r="R9" s="173"/>
      <c r="S9" s="124"/>
      <c r="T9" s="125"/>
      <c r="U9" s="125"/>
      <c r="V9" s="125"/>
      <c r="W9" s="126"/>
      <c r="X9" s="125"/>
      <c r="Y9" s="127"/>
      <c r="Z9" s="128"/>
      <c r="AA9" s="129"/>
      <c r="AB9" s="130"/>
      <c r="AC9" s="96"/>
      <c r="AD9" s="96"/>
      <c r="AE9" s="96"/>
    </row>
    <row r="10" spans="1:31" ht="87" customHeight="1" x14ac:dyDescent="0.2">
      <c r="A10" s="107">
        <v>1</v>
      </c>
      <c r="B10" s="93"/>
      <c r="C10" s="94" t="s">
        <v>205</v>
      </c>
      <c r="D10" s="567" t="s">
        <v>528</v>
      </c>
      <c r="E10" s="586"/>
      <c r="F10" s="586"/>
      <c r="G10" s="586"/>
      <c r="H10" s="586"/>
      <c r="I10" s="586"/>
      <c r="J10" s="586"/>
      <c r="K10" s="586"/>
      <c r="L10" s="586"/>
      <c r="M10" s="586"/>
      <c r="N10" s="587"/>
      <c r="O10" s="71"/>
      <c r="P10" s="95" t="str">
        <f t="shared" si="0"/>
        <v/>
      </c>
      <c r="Q10" s="173"/>
      <c r="R10" s="173"/>
      <c r="S10" s="124"/>
      <c r="T10" s="124"/>
      <c r="U10" s="124"/>
      <c r="V10" s="125"/>
      <c r="W10" s="131"/>
      <c r="X10" s="124"/>
      <c r="Y10" s="127"/>
      <c r="Z10" s="128"/>
      <c r="AA10" s="129"/>
      <c r="AB10" s="129"/>
    </row>
    <row r="11" spans="1:31" ht="50.25" customHeight="1" x14ac:dyDescent="0.2">
      <c r="A11" s="107" t="s">
        <v>70</v>
      </c>
      <c r="B11" s="93"/>
      <c r="C11" s="94" t="s">
        <v>206</v>
      </c>
      <c r="D11" s="567" t="s">
        <v>529</v>
      </c>
      <c r="E11" s="586"/>
      <c r="F11" s="586"/>
      <c r="G11" s="586"/>
      <c r="H11" s="586"/>
      <c r="I11" s="586"/>
      <c r="J11" s="586"/>
      <c r="K11" s="586"/>
      <c r="L11" s="586"/>
      <c r="M11" s="586"/>
      <c r="N11" s="587"/>
      <c r="O11" s="71"/>
      <c r="P11" s="95" t="str">
        <f t="shared" si="0"/>
        <v/>
      </c>
      <c r="Q11" s="173"/>
      <c r="R11" s="173"/>
      <c r="S11" s="124"/>
      <c r="T11" s="124"/>
      <c r="U11" s="124"/>
      <c r="V11" s="125"/>
      <c r="W11" s="131"/>
      <c r="X11" s="124"/>
      <c r="Y11" s="127"/>
      <c r="Z11" s="128"/>
      <c r="AA11" s="129"/>
      <c r="AB11" s="129"/>
    </row>
    <row r="12" spans="1:31" ht="33.75" customHeight="1" x14ac:dyDescent="0.2">
      <c r="A12" s="106">
        <v>1</v>
      </c>
      <c r="C12" s="94" t="s">
        <v>207</v>
      </c>
      <c r="D12" s="567" t="s">
        <v>659</v>
      </c>
      <c r="E12" s="586"/>
      <c r="F12" s="586"/>
      <c r="G12" s="586"/>
      <c r="H12" s="586"/>
      <c r="I12" s="586"/>
      <c r="J12" s="586"/>
      <c r="K12" s="586"/>
      <c r="L12" s="586"/>
      <c r="M12" s="586"/>
      <c r="N12" s="587"/>
      <c r="O12" s="71"/>
      <c r="P12" s="95" t="str">
        <f t="shared" si="0"/>
        <v/>
      </c>
      <c r="Q12" s="173"/>
      <c r="R12" s="173"/>
      <c r="S12" s="124"/>
      <c r="T12" s="124"/>
      <c r="U12" s="124"/>
      <c r="V12" s="125"/>
      <c r="W12" s="131"/>
      <c r="X12" s="124"/>
      <c r="Y12" s="127"/>
      <c r="Z12" s="128"/>
      <c r="AA12" s="129"/>
      <c r="AB12" s="129"/>
    </row>
    <row r="13" spans="1:31" ht="36" customHeight="1" x14ac:dyDescent="0.2">
      <c r="A13" s="107">
        <v>1</v>
      </c>
      <c r="B13" s="93"/>
      <c r="C13" s="97" t="s">
        <v>208</v>
      </c>
      <c r="D13" s="567" t="s">
        <v>656</v>
      </c>
      <c r="E13" s="470"/>
      <c r="F13" s="470"/>
      <c r="G13" s="470"/>
      <c r="H13" s="470"/>
      <c r="I13" s="470"/>
      <c r="J13" s="470"/>
      <c r="K13" s="470"/>
      <c r="L13" s="470"/>
      <c r="M13" s="470"/>
      <c r="N13" s="471"/>
      <c r="O13" s="71"/>
      <c r="P13" s="95" t="str">
        <f t="shared" ref="P13:P19" si="1">IF(O13="","",IF(O13="Yes","Pass",IF(O13="No","Fail","N/A")))</f>
        <v/>
      </c>
      <c r="Q13" s="173"/>
      <c r="R13" s="173"/>
      <c r="S13" s="124"/>
      <c r="T13" s="124"/>
      <c r="U13" s="124"/>
      <c r="V13" s="125"/>
      <c r="W13" s="131"/>
      <c r="X13" s="124"/>
      <c r="Y13" s="127"/>
      <c r="Z13" s="128"/>
      <c r="AA13" s="129"/>
      <c r="AB13" s="129"/>
    </row>
    <row r="14" spans="1:31" ht="46.5" customHeight="1" x14ac:dyDescent="0.2">
      <c r="A14" s="107" t="s">
        <v>70</v>
      </c>
      <c r="B14" s="93"/>
      <c r="C14" s="97" t="s">
        <v>209</v>
      </c>
      <c r="D14" s="567" t="s">
        <v>530</v>
      </c>
      <c r="E14" s="586"/>
      <c r="F14" s="586"/>
      <c r="G14" s="586"/>
      <c r="H14" s="586"/>
      <c r="I14" s="586"/>
      <c r="J14" s="586"/>
      <c r="K14" s="586"/>
      <c r="L14" s="586"/>
      <c r="M14" s="586"/>
      <c r="N14" s="587"/>
      <c r="O14" s="71"/>
      <c r="P14" s="95" t="str">
        <f t="shared" si="1"/>
        <v/>
      </c>
      <c r="Q14" s="173"/>
      <c r="R14" s="173"/>
      <c r="S14" s="124"/>
      <c r="T14" s="124"/>
      <c r="U14" s="124"/>
      <c r="V14" s="125"/>
      <c r="W14" s="131"/>
      <c r="X14" s="124"/>
      <c r="Y14" s="127"/>
      <c r="Z14" s="128"/>
      <c r="AA14" s="129"/>
      <c r="AB14" s="129"/>
    </row>
    <row r="15" spans="1:31" ht="49.5" customHeight="1" x14ac:dyDescent="0.2">
      <c r="A15" s="107">
        <v>1</v>
      </c>
      <c r="B15" s="93"/>
      <c r="C15" s="94" t="s">
        <v>210</v>
      </c>
      <c r="D15" s="567" t="s">
        <v>531</v>
      </c>
      <c r="E15" s="586"/>
      <c r="F15" s="586"/>
      <c r="G15" s="586"/>
      <c r="H15" s="586"/>
      <c r="I15" s="586"/>
      <c r="J15" s="586"/>
      <c r="K15" s="586"/>
      <c r="L15" s="586"/>
      <c r="M15" s="586"/>
      <c r="N15" s="587"/>
      <c r="O15" s="71"/>
      <c r="P15" s="95" t="str">
        <f t="shared" si="1"/>
        <v/>
      </c>
      <c r="Q15" s="173"/>
      <c r="R15" s="173"/>
      <c r="S15" s="124"/>
      <c r="T15" s="124"/>
      <c r="U15" s="124"/>
      <c r="V15" s="125"/>
      <c r="W15" s="131"/>
      <c r="X15" s="124"/>
      <c r="Y15" s="127"/>
      <c r="Z15" s="128"/>
      <c r="AA15" s="129"/>
      <c r="AB15" s="129"/>
    </row>
    <row r="16" spans="1:31" ht="66.75" customHeight="1" x14ac:dyDescent="0.2">
      <c r="A16" s="106">
        <v>1</v>
      </c>
      <c r="C16" s="97" t="s">
        <v>211</v>
      </c>
      <c r="D16" s="567" t="s">
        <v>532</v>
      </c>
      <c r="E16" s="586"/>
      <c r="F16" s="586"/>
      <c r="G16" s="586"/>
      <c r="H16" s="586"/>
      <c r="I16" s="586"/>
      <c r="J16" s="586"/>
      <c r="K16" s="586"/>
      <c r="L16" s="586"/>
      <c r="M16" s="586"/>
      <c r="N16" s="587"/>
      <c r="O16" s="71"/>
      <c r="P16" s="95" t="str">
        <f t="shared" si="1"/>
        <v/>
      </c>
      <c r="Q16" s="173"/>
      <c r="R16" s="173"/>
      <c r="S16" s="124"/>
      <c r="T16" s="124"/>
      <c r="U16" s="124"/>
      <c r="V16" s="125"/>
      <c r="W16" s="131"/>
      <c r="X16" s="124"/>
      <c r="Y16" s="127"/>
      <c r="Z16" s="128"/>
      <c r="AA16" s="129"/>
      <c r="AB16" s="129"/>
    </row>
    <row r="17" spans="1:28" ht="39" customHeight="1" x14ac:dyDescent="0.2">
      <c r="A17" s="107" t="s">
        <v>70</v>
      </c>
      <c r="B17" s="93"/>
      <c r="C17" s="97" t="s">
        <v>212</v>
      </c>
      <c r="D17" s="567" t="s">
        <v>533</v>
      </c>
      <c r="E17" s="586"/>
      <c r="F17" s="586"/>
      <c r="G17" s="586"/>
      <c r="H17" s="586"/>
      <c r="I17" s="586"/>
      <c r="J17" s="586"/>
      <c r="K17" s="586"/>
      <c r="L17" s="586"/>
      <c r="M17" s="586"/>
      <c r="N17" s="587"/>
      <c r="O17" s="71"/>
      <c r="P17" s="95" t="str">
        <f t="shared" si="1"/>
        <v/>
      </c>
      <c r="Q17" s="173"/>
      <c r="R17" s="173"/>
      <c r="S17" s="124"/>
      <c r="T17" s="124"/>
      <c r="U17" s="124"/>
      <c r="V17" s="125"/>
      <c r="W17" s="131"/>
      <c r="X17" s="124"/>
      <c r="Y17" s="127"/>
      <c r="Z17" s="128"/>
      <c r="AA17" s="129"/>
      <c r="AB17" s="129"/>
    </row>
    <row r="18" spans="1:28" ht="83.25" customHeight="1" x14ac:dyDescent="0.2">
      <c r="A18" s="107" t="s">
        <v>70</v>
      </c>
      <c r="B18" s="93"/>
      <c r="C18" s="94" t="s">
        <v>657</v>
      </c>
      <c r="D18" s="567" t="s">
        <v>534</v>
      </c>
      <c r="E18" s="586"/>
      <c r="F18" s="586"/>
      <c r="G18" s="586"/>
      <c r="H18" s="586"/>
      <c r="I18" s="586"/>
      <c r="J18" s="586"/>
      <c r="K18" s="586"/>
      <c r="L18" s="586"/>
      <c r="M18" s="586"/>
      <c r="N18" s="587"/>
      <c r="O18" s="71"/>
      <c r="P18" s="95" t="str">
        <f t="shared" si="1"/>
        <v/>
      </c>
      <c r="Q18" s="173"/>
      <c r="R18" s="173"/>
      <c r="S18" s="124"/>
      <c r="T18" s="124"/>
      <c r="U18" s="124"/>
      <c r="V18" s="125"/>
      <c r="W18" s="131"/>
      <c r="X18" s="124"/>
      <c r="Y18" s="127"/>
      <c r="Z18" s="128"/>
      <c r="AA18" s="129"/>
      <c r="AB18" s="129"/>
    </row>
    <row r="19" spans="1:28" ht="47.25" customHeight="1" x14ac:dyDescent="0.2">
      <c r="A19" s="107" t="s">
        <v>81</v>
      </c>
      <c r="B19" s="93"/>
      <c r="C19" s="391" t="s">
        <v>213</v>
      </c>
      <c r="D19" s="571" t="s">
        <v>535</v>
      </c>
      <c r="E19" s="572"/>
      <c r="F19" s="572"/>
      <c r="G19" s="572"/>
      <c r="H19" s="572"/>
      <c r="I19" s="572"/>
      <c r="J19" s="572"/>
      <c r="K19" s="572"/>
      <c r="L19" s="572"/>
      <c r="M19" s="572"/>
      <c r="N19" s="572"/>
      <c r="O19" s="71"/>
      <c r="P19" s="95" t="str">
        <f t="shared" si="1"/>
        <v/>
      </c>
      <c r="Q19" s="173"/>
      <c r="R19" s="173"/>
      <c r="S19" s="124"/>
      <c r="T19" s="124"/>
      <c r="U19" s="124"/>
      <c r="V19" s="125"/>
      <c r="W19" s="131"/>
      <c r="X19" s="124"/>
      <c r="Y19" s="127"/>
      <c r="Z19" s="128"/>
      <c r="AA19" s="129"/>
      <c r="AB19" s="129"/>
    </row>
    <row r="20" spans="1:28" ht="22.5" customHeight="1" x14ac:dyDescent="0.2">
      <c r="A20" s="106">
        <v>1</v>
      </c>
      <c r="B20" s="93"/>
      <c r="C20" s="575" t="s">
        <v>267</v>
      </c>
      <c r="D20" s="470"/>
      <c r="E20" s="470"/>
      <c r="F20" s="470"/>
      <c r="G20" s="470"/>
      <c r="H20" s="470"/>
      <c r="I20" s="470"/>
      <c r="J20" s="470"/>
      <c r="K20" s="470"/>
      <c r="L20" s="470"/>
      <c r="M20" s="470"/>
      <c r="N20" s="470"/>
      <c r="O20"/>
      <c r="P20" s="392"/>
      <c r="Q20" s="174"/>
      <c r="R20" s="174"/>
      <c r="S20" s="124"/>
      <c r="T20" s="124"/>
      <c r="U20" s="124"/>
      <c r="V20" s="125"/>
      <c r="W20" s="131"/>
      <c r="X20" s="124"/>
      <c r="Y20" s="127"/>
      <c r="Z20" s="128"/>
      <c r="AA20" s="129"/>
      <c r="AB20" s="129"/>
    </row>
    <row r="21" spans="1:28" ht="30.75" customHeight="1" x14ac:dyDescent="0.2">
      <c r="A21" s="107" t="s">
        <v>73</v>
      </c>
      <c r="C21" s="581" t="s">
        <v>17</v>
      </c>
      <c r="D21" s="470"/>
      <c r="E21" s="470"/>
      <c r="F21" s="470"/>
      <c r="G21" s="470"/>
      <c r="H21" s="470"/>
      <c r="I21" s="470"/>
      <c r="J21" s="470"/>
      <c r="K21" s="470"/>
      <c r="L21" s="470"/>
      <c r="M21" s="470"/>
      <c r="N21" s="471"/>
      <c r="O21" s="345"/>
      <c r="P21" s="343"/>
      <c r="Q21" s="172"/>
      <c r="R21" s="172"/>
      <c r="S21" s="124"/>
      <c r="T21" s="124"/>
      <c r="U21" s="124"/>
      <c r="V21" s="125"/>
      <c r="W21" s="131"/>
      <c r="X21" s="124"/>
      <c r="Y21" s="132"/>
      <c r="Z21" s="128"/>
      <c r="AA21" s="129"/>
      <c r="AB21" s="129"/>
    </row>
    <row r="22" spans="1:28" ht="18" customHeight="1" x14ac:dyDescent="0.25">
      <c r="C22" s="100" t="s">
        <v>264</v>
      </c>
      <c r="D22" s="573" t="s">
        <v>71</v>
      </c>
      <c r="E22" s="574"/>
      <c r="F22" s="574"/>
      <c r="G22" s="574"/>
      <c r="H22" s="574"/>
      <c r="I22" s="574"/>
      <c r="J22" s="574"/>
      <c r="K22" s="574"/>
      <c r="L22" s="574"/>
      <c r="M22" s="574"/>
      <c r="N22" s="440"/>
      <c r="O22" s="101" t="s">
        <v>265</v>
      </c>
      <c r="P22" s="101" t="s">
        <v>266</v>
      </c>
      <c r="Q22" s="359"/>
      <c r="R22" s="175"/>
      <c r="S22" s="124"/>
      <c r="T22" s="124"/>
      <c r="U22" s="124"/>
      <c r="V22" s="125"/>
      <c r="W22" s="131"/>
      <c r="X22" s="124"/>
      <c r="Y22" s="127"/>
      <c r="Z22" s="128"/>
      <c r="AA22" s="129"/>
      <c r="AB22" s="129"/>
    </row>
    <row r="23" spans="1:28" ht="18" customHeight="1" x14ac:dyDescent="0.2">
      <c r="A23" s="106">
        <v>1</v>
      </c>
      <c r="C23" s="102" t="s">
        <v>215</v>
      </c>
      <c r="D23" s="567" t="s">
        <v>268</v>
      </c>
      <c r="E23" s="470"/>
      <c r="F23" s="470"/>
      <c r="G23" s="470"/>
      <c r="H23" s="470"/>
      <c r="I23" s="470"/>
      <c r="J23" s="470"/>
      <c r="K23" s="470"/>
      <c r="L23" s="470"/>
      <c r="M23" s="470"/>
      <c r="N23" s="471"/>
      <c r="O23" s="71"/>
      <c r="P23" s="95" t="str">
        <f>IF(O23="","",IF(O23="Yes","Pass",IF(O23="No","Fail","N/A")))</f>
        <v/>
      </c>
      <c r="Q23" s="173"/>
      <c r="R23" s="173"/>
      <c r="S23" s="124"/>
      <c r="T23" s="124"/>
      <c r="U23" s="124"/>
      <c r="V23" s="125"/>
      <c r="W23" s="131"/>
      <c r="X23" s="124"/>
      <c r="Y23" s="127"/>
      <c r="Z23" s="128"/>
      <c r="AA23" s="129"/>
      <c r="AB23" s="129"/>
    </row>
    <row r="24" spans="1:28" ht="45" customHeight="1" x14ac:dyDescent="0.2">
      <c r="A24" s="107" t="s">
        <v>69</v>
      </c>
      <c r="C24" s="97" t="s">
        <v>216</v>
      </c>
      <c r="D24" s="567" t="s">
        <v>269</v>
      </c>
      <c r="E24" s="470"/>
      <c r="F24" s="470"/>
      <c r="G24" s="470"/>
      <c r="H24" s="470"/>
      <c r="I24" s="470"/>
      <c r="J24" s="470"/>
      <c r="K24" s="470"/>
      <c r="L24" s="470"/>
      <c r="M24" s="470"/>
      <c r="N24" s="471"/>
      <c r="O24" s="71"/>
      <c r="P24" s="95" t="str">
        <f>IF(O24="","",IF(O24="Yes","Pass",IF(O24="No","Fail","N/A")))</f>
        <v/>
      </c>
      <c r="Q24" s="173"/>
      <c r="R24" s="173"/>
      <c r="S24" s="124"/>
      <c r="T24" s="124"/>
      <c r="U24" s="124"/>
      <c r="V24" s="125"/>
      <c r="W24" s="131"/>
      <c r="X24" s="124"/>
      <c r="Y24" s="127"/>
      <c r="Z24" s="128"/>
      <c r="AA24" s="129"/>
      <c r="AB24" s="129"/>
    </row>
    <row r="25" spans="1:28" ht="45" customHeight="1" x14ac:dyDescent="0.2">
      <c r="A25" s="107" t="s">
        <v>69</v>
      </c>
      <c r="B25" s="93"/>
      <c r="C25" s="97" t="s">
        <v>217</v>
      </c>
      <c r="D25" s="567" t="s">
        <v>270</v>
      </c>
      <c r="E25" s="470"/>
      <c r="F25" s="470"/>
      <c r="G25" s="470"/>
      <c r="H25" s="470"/>
      <c r="I25" s="470"/>
      <c r="J25" s="470"/>
      <c r="K25" s="470"/>
      <c r="L25" s="470"/>
      <c r="M25" s="470"/>
      <c r="N25" s="471"/>
      <c r="O25" s="71"/>
      <c r="P25" s="95" t="str">
        <f>IF(O25="","",IF(O25="Yes","Pass",IF(O25="No","Fail","N/A")))</f>
        <v/>
      </c>
      <c r="Q25" s="173"/>
      <c r="R25" s="173"/>
      <c r="S25" s="124"/>
      <c r="T25" s="124"/>
      <c r="U25" s="124"/>
      <c r="V25" s="125"/>
      <c r="W25" s="131"/>
      <c r="X25" s="124"/>
      <c r="Y25" s="127"/>
      <c r="Z25" s="128"/>
      <c r="AA25" s="129"/>
      <c r="AB25" s="129"/>
    </row>
    <row r="26" spans="1:28" ht="51.75" customHeight="1" x14ac:dyDescent="0.2">
      <c r="A26" s="107" t="s">
        <v>69</v>
      </c>
      <c r="B26" s="93"/>
      <c r="C26" s="97" t="s">
        <v>218</v>
      </c>
      <c r="D26" s="567" t="s">
        <v>271</v>
      </c>
      <c r="E26" s="470"/>
      <c r="F26" s="470"/>
      <c r="G26" s="470"/>
      <c r="H26" s="470"/>
      <c r="I26" s="470"/>
      <c r="J26" s="470"/>
      <c r="K26" s="470"/>
      <c r="L26" s="470"/>
      <c r="M26" s="470"/>
      <c r="N26" s="470"/>
      <c r="O26" s="71"/>
      <c r="P26" s="95" t="str">
        <f>IF(O26="","",IF(O26="Yes","Pass",IF(O26="No","Fail","N/A")))</f>
        <v/>
      </c>
      <c r="Q26" s="173"/>
      <c r="R26" s="173"/>
      <c r="S26" s="124"/>
      <c r="T26" s="124"/>
      <c r="U26" s="124"/>
      <c r="V26" s="125"/>
      <c r="W26" s="131"/>
      <c r="X26" s="124"/>
      <c r="Y26" s="127"/>
      <c r="Z26" s="128"/>
      <c r="AA26" s="129"/>
      <c r="AB26" s="129"/>
    </row>
    <row r="27" spans="1:28" ht="22.5" customHeight="1" x14ac:dyDescent="0.2">
      <c r="A27" s="106">
        <v>1</v>
      </c>
      <c r="B27" s="93"/>
      <c r="C27" s="580" t="s">
        <v>272</v>
      </c>
      <c r="D27" s="470"/>
      <c r="E27" s="470"/>
      <c r="F27" s="470"/>
      <c r="G27" s="470"/>
      <c r="H27" s="470"/>
      <c r="I27" s="470"/>
      <c r="J27" s="470"/>
      <c r="K27" s="470"/>
      <c r="L27" s="470"/>
      <c r="M27" s="470"/>
      <c r="N27" s="470"/>
      <c r="O27" s="341"/>
      <c r="Q27" s="123"/>
      <c r="R27" s="123"/>
      <c r="S27" s="124"/>
      <c r="T27" s="124"/>
      <c r="U27" s="124"/>
      <c r="V27" s="125"/>
      <c r="W27" s="131"/>
      <c r="X27" s="124"/>
      <c r="Y27" s="127"/>
      <c r="Z27" s="128"/>
      <c r="AA27" s="129"/>
      <c r="AB27" s="129"/>
    </row>
    <row r="28" spans="1:28" ht="29.25" customHeight="1" x14ac:dyDescent="0.2">
      <c r="A28" s="107" t="s">
        <v>73</v>
      </c>
      <c r="C28" s="581" t="s">
        <v>17</v>
      </c>
      <c r="D28" s="470"/>
      <c r="E28" s="470"/>
      <c r="F28" s="470"/>
      <c r="G28" s="470"/>
      <c r="H28" s="470"/>
      <c r="I28" s="470"/>
      <c r="J28" s="470"/>
      <c r="K28" s="470"/>
      <c r="L28" s="470"/>
      <c r="M28" s="470"/>
      <c r="N28" s="470"/>
      <c r="O28" s="345"/>
      <c r="P28" s="340"/>
      <c r="Q28" s="123"/>
      <c r="R28" s="123"/>
      <c r="S28" s="124"/>
      <c r="T28" s="124"/>
      <c r="U28" s="124"/>
      <c r="V28" s="125"/>
      <c r="W28" s="131"/>
      <c r="X28" s="133"/>
      <c r="Y28" s="132"/>
      <c r="Z28" s="128"/>
      <c r="AA28" s="129"/>
      <c r="AB28" s="129"/>
    </row>
    <row r="29" spans="1:28" ht="24" customHeight="1" x14ac:dyDescent="0.25">
      <c r="C29" s="100" t="s">
        <v>264</v>
      </c>
      <c r="D29" s="573" t="s">
        <v>465</v>
      </c>
      <c r="E29" s="574"/>
      <c r="F29" s="574"/>
      <c r="G29" s="574"/>
      <c r="H29" s="574"/>
      <c r="I29" s="574"/>
      <c r="J29" s="574"/>
      <c r="K29" s="574"/>
      <c r="L29" s="574"/>
      <c r="M29" s="574"/>
      <c r="N29" s="574"/>
      <c r="O29" s="101" t="s">
        <v>265</v>
      </c>
      <c r="P29" s="101" t="s">
        <v>266</v>
      </c>
      <c r="Q29" s="359"/>
      <c r="R29" s="175"/>
      <c r="S29" s="124"/>
      <c r="T29" s="124"/>
      <c r="U29" s="124"/>
      <c r="V29" s="125"/>
      <c r="W29" s="131"/>
      <c r="X29" s="133"/>
      <c r="Y29" s="132"/>
      <c r="Z29" s="128"/>
      <c r="AA29" s="129"/>
      <c r="AB29" s="129"/>
    </row>
    <row r="30" spans="1:28" ht="66" customHeight="1" x14ac:dyDescent="0.2">
      <c r="A30" s="107" t="s">
        <v>69</v>
      </c>
      <c r="C30" s="102" t="s">
        <v>466</v>
      </c>
      <c r="D30" s="567" t="s">
        <v>467</v>
      </c>
      <c r="E30" s="572"/>
      <c r="F30" s="572"/>
      <c r="G30" s="572"/>
      <c r="H30" s="572"/>
      <c r="I30" s="572"/>
      <c r="J30" s="572"/>
      <c r="K30" s="572"/>
      <c r="L30" s="572"/>
      <c r="M30" s="572"/>
      <c r="N30" s="572"/>
      <c r="O30" s="71"/>
      <c r="P30" s="95" t="str">
        <f t="shared" ref="P30:P31" si="2">IF(O30="","",IF(O30="Yes","Pass",IF(O30="No","Fail","N/A")))</f>
        <v/>
      </c>
      <c r="Q30" s="173"/>
      <c r="R30" s="173"/>
      <c r="S30" s="124"/>
      <c r="T30" s="124"/>
      <c r="U30" s="124"/>
      <c r="V30" s="125"/>
      <c r="W30" s="131"/>
      <c r="X30" s="133"/>
      <c r="Y30" s="132"/>
      <c r="Z30" s="128"/>
      <c r="AA30" s="129"/>
      <c r="AB30" s="129"/>
    </row>
    <row r="31" spans="1:28" ht="33.75" customHeight="1" x14ac:dyDescent="0.2">
      <c r="A31" s="107" t="s">
        <v>73</v>
      </c>
      <c r="B31" s="93"/>
      <c r="C31" s="102" t="s">
        <v>471</v>
      </c>
      <c r="D31" s="579" t="s">
        <v>468</v>
      </c>
      <c r="E31" s="572"/>
      <c r="F31" s="572"/>
      <c r="G31" s="572"/>
      <c r="H31" s="572"/>
      <c r="I31" s="572"/>
      <c r="J31" s="572"/>
      <c r="K31" s="572"/>
      <c r="L31" s="572"/>
      <c r="M31" s="572"/>
      <c r="N31" s="572"/>
      <c r="O31" s="71"/>
      <c r="P31" s="95" t="str">
        <f t="shared" si="2"/>
        <v/>
      </c>
      <c r="Q31" s="173"/>
      <c r="R31" s="173"/>
      <c r="S31" s="124"/>
      <c r="T31" s="124"/>
      <c r="U31" s="124"/>
      <c r="V31" s="125"/>
      <c r="W31" s="131"/>
      <c r="X31" s="133"/>
      <c r="Y31" s="132"/>
      <c r="Z31" s="128"/>
      <c r="AA31" s="129"/>
      <c r="AB31" s="129"/>
    </row>
    <row r="32" spans="1:28" ht="45" customHeight="1" x14ac:dyDescent="0.2">
      <c r="A32" s="107" t="s">
        <v>69</v>
      </c>
      <c r="B32" s="93"/>
      <c r="C32" s="102" t="s">
        <v>472</v>
      </c>
      <c r="D32" s="579" t="s">
        <v>469</v>
      </c>
      <c r="E32" s="572"/>
      <c r="F32" s="572"/>
      <c r="G32" s="572"/>
      <c r="H32" s="572"/>
      <c r="I32" s="572"/>
      <c r="J32" s="572"/>
      <c r="K32" s="572"/>
      <c r="L32" s="572"/>
      <c r="M32" s="572"/>
      <c r="N32" s="572"/>
      <c r="O32" s="71"/>
      <c r="P32" s="95" t="str">
        <f>IF(O32="","",IF(O32="Yes","Pass",IF(O32="No","Fail","N/A")))</f>
        <v/>
      </c>
      <c r="Q32" s="173"/>
      <c r="R32" s="173"/>
      <c r="S32" s="124"/>
      <c r="T32" s="124"/>
      <c r="U32" s="124"/>
      <c r="V32" s="125"/>
      <c r="W32" s="131"/>
      <c r="X32" s="133"/>
      <c r="Y32" s="132"/>
      <c r="Z32" s="128"/>
      <c r="AA32" s="129"/>
      <c r="AB32" s="129"/>
    </row>
    <row r="33" spans="1:28" ht="30" customHeight="1" x14ac:dyDescent="0.2">
      <c r="A33" s="107" t="s">
        <v>70</v>
      </c>
      <c r="B33" s="93"/>
      <c r="C33" s="102" t="s">
        <v>473</v>
      </c>
      <c r="D33" s="579" t="s">
        <v>470</v>
      </c>
      <c r="E33" s="572"/>
      <c r="F33" s="572"/>
      <c r="G33" s="572"/>
      <c r="H33" s="572"/>
      <c r="I33" s="572"/>
      <c r="J33" s="572"/>
      <c r="K33" s="572"/>
      <c r="L33" s="572"/>
      <c r="M33" s="572"/>
      <c r="N33" s="572"/>
      <c r="O33" s="71"/>
      <c r="P33" s="95" t="str">
        <f>IF(O33="","",IF(O33="Yes","Pass",IF(O33="No","Fail","N/A")))</f>
        <v/>
      </c>
      <c r="Q33" s="173"/>
      <c r="R33" s="173"/>
      <c r="S33" s="124"/>
      <c r="T33" s="124"/>
      <c r="U33" s="124"/>
      <c r="V33" s="125"/>
      <c r="W33" s="131"/>
      <c r="X33" s="133"/>
      <c r="Y33" s="132"/>
      <c r="Z33" s="128"/>
      <c r="AA33" s="129"/>
      <c r="AB33" s="129"/>
    </row>
    <row r="34" spans="1:28" ht="24" customHeight="1" x14ac:dyDescent="0.2">
      <c r="A34" s="107" t="s">
        <v>69</v>
      </c>
      <c r="B34" s="93"/>
      <c r="C34" s="580" t="s">
        <v>545</v>
      </c>
      <c r="D34" s="470"/>
      <c r="E34" s="470"/>
      <c r="F34" s="470"/>
      <c r="G34" s="470"/>
      <c r="H34" s="470"/>
      <c r="I34" s="470"/>
      <c r="J34" s="470"/>
      <c r="K34" s="470"/>
      <c r="L34" s="470"/>
      <c r="M34" s="470"/>
      <c r="N34" s="470"/>
      <c r="O34" s="341"/>
      <c r="Q34" s="359"/>
      <c r="S34" s="124"/>
      <c r="T34" s="124"/>
      <c r="U34" s="124"/>
      <c r="V34" s="125"/>
      <c r="W34" s="131"/>
      <c r="X34" s="133"/>
      <c r="Y34" s="132"/>
      <c r="Z34" s="128"/>
      <c r="AA34" s="129"/>
      <c r="AB34" s="129"/>
    </row>
    <row r="35" spans="1:28" ht="27.75" customHeight="1" x14ac:dyDescent="0.2">
      <c r="A35" s="107" t="s">
        <v>69</v>
      </c>
      <c r="B35" s="93"/>
      <c r="C35" s="581" t="s">
        <v>17</v>
      </c>
      <c r="D35" s="470"/>
      <c r="E35" s="470"/>
      <c r="F35" s="470"/>
      <c r="G35" s="470"/>
      <c r="H35" s="470"/>
      <c r="I35" s="470"/>
      <c r="J35" s="470"/>
      <c r="K35" s="470"/>
      <c r="L35" s="470"/>
      <c r="M35" s="470"/>
      <c r="N35" s="470"/>
      <c r="O35" s="345"/>
      <c r="Q35" s="173"/>
      <c r="R35"/>
      <c r="U35"/>
      <c r="V35"/>
      <c r="W35"/>
      <c r="X35"/>
      <c r="Y35"/>
      <c r="Z35"/>
      <c r="AA35"/>
      <c r="AB35"/>
    </row>
    <row r="36" spans="1:28" ht="24.75" customHeight="1" x14ac:dyDescent="0.25">
      <c r="A36" s="107" t="s">
        <v>70</v>
      </c>
      <c r="B36" s="93"/>
      <c r="C36" s="100" t="s">
        <v>264</v>
      </c>
      <c r="D36" s="573" t="s">
        <v>72</v>
      </c>
      <c r="E36" s="574"/>
      <c r="F36" s="574"/>
      <c r="G36" s="574"/>
      <c r="H36" s="574"/>
      <c r="I36" s="574"/>
      <c r="J36" s="574"/>
      <c r="K36" s="574"/>
      <c r="L36" s="574"/>
      <c r="M36" s="574"/>
      <c r="N36" s="440"/>
      <c r="O36" s="101" t="s">
        <v>265</v>
      </c>
      <c r="P36" s="101" t="s">
        <v>266</v>
      </c>
      <c r="Q36" s="173"/>
      <c r="R36"/>
      <c r="U36"/>
      <c r="V36"/>
      <c r="W36"/>
      <c r="X36"/>
      <c r="Y36"/>
      <c r="Z36"/>
      <c r="AA36"/>
      <c r="AB36"/>
    </row>
    <row r="37" spans="1:28" ht="31.5" customHeight="1" x14ac:dyDescent="0.2">
      <c r="A37" s="107" t="s">
        <v>73</v>
      </c>
      <c r="B37" s="93"/>
      <c r="C37" s="103" t="s">
        <v>220</v>
      </c>
      <c r="D37" s="445" t="s">
        <v>544</v>
      </c>
      <c r="E37" s="568"/>
      <c r="F37" s="568"/>
      <c r="G37" s="568"/>
      <c r="H37" s="568"/>
      <c r="I37" s="568"/>
      <c r="J37" s="568"/>
      <c r="K37" s="568"/>
      <c r="L37" s="568"/>
      <c r="M37" s="568"/>
      <c r="N37" s="569"/>
      <c r="O37" s="71"/>
      <c r="P37" s="95" t="str">
        <f>IF(O37="","",IF(O37="Yes","Pass",IF(O37="No","Fail","N/A")))</f>
        <v/>
      </c>
      <c r="Q37" s="173"/>
      <c r="R37"/>
      <c r="U37"/>
      <c r="V37"/>
      <c r="W37"/>
      <c r="X37"/>
      <c r="Y37"/>
      <c r="Z37"/>
      <c r="AA37"/>
      <c r="AB37"/>
    </row>
    <row r="38" spans="1:28" ht="30" customHeight="1" x14ac:dyDescent="0.2">
      <c r="A38" s="107" t="s">
        <v>70</v>
      </c>
      <c r="B38" s="93"/>
      <c r="C38" s="185"/>
      <c r="D38" s="296" t="s">
        <v>351</v>
      </c>
      <c r="E38" s="297"/>
      <c r="F38" s="298"/>
      <c r="G38" s="299"/>
      <c r="I38" s="300" t="s">
        <v>352</v>
      </c>
      <c r="J38" s="299"/>
      <c r="K38" s="301" t="s">
        <v>353</v>
      </c>
      <c r="L38" s="191"/>
      <c r="M38" s="302"/>
      <c r="N38" s="303" t="e">
        <f>J38/G38</f>
        <v>#DIV/0!</v>
      </c>
      <c r="Q38" s="173"/>
      <c r="R38"/>
      <c r="U38"/>
      <c r="V38"/>
      <c r="W38"/>
      <c r="X38"/>
      <c r="Y38"/>
      <c r="Z38"/>
      <c r="AA38"/>
      <c r="AB38"/>
    </row>
    <row r="39" spans="1:28" ht="38.25" customHeight="1" x14ac:dyDescent="0.2">
      <c r="A39" s="107" t="s">
        <v>73</v>
      </c>
      <c r="B39" s="93"/>
      <c r="C39" s="97" t="s">
        <v>133</v>
      </c>
      <c r="D39" s="579" t="s">
        <v>645</v>
      </c>
      <c r="E39" s="572"/>
      <c r="F39" s="572"/>
      <c r="G39" s="572"/>
      <c r="H39" s="572"/>
      <c r="I39" s="572"/>
      <c r="J39" s="572"/>
      <c r="K39" s="572"/>
      <c r="L39" s="572"/>
      <c r="M39" s="572"/>
      <c r="N39" s="572"/>
      <c r="O39" s="71"/>
      <c r="P39" s="95" t="str">
        <f t="shared" ref="P39:P49" si="3">IF(O39="","",IF(O39="Yes","Pass",IF(O39="No","Fail","N/A")))</f>
        <v/>
      </c>
      <c r="Q39" s="173"/>
      <c r="R39"/>
      <c r="U39"/>
      <c r="V39"/>
      <c r="W39"/>
      <c r="X39"/>
      <c r="Y39"/>
      <c r="Z39"/>
      <c r="AA39"/>
      <c r="AB39"/>
    </row>
    <row r="40" spans="1:28" ht="30" customHeight="1" x14ac:dyDescent="0.2">
      <c r="A40" s="107" t="s">
        <v>70</v>
      </c>
      <c r="B40" s="93"/>
      <c r="C40" s="97" t="s">
        <v>221</v>
      </c>
      <c r="D40" s="579" t="s">
        <v>536</v>
      </c>
      <c r="E40" s="470"/>
      <c r="F40" s="470"/>
      <c r="G40" s="470"/>
      <c r="H40" s="470"/>
      <c r="I40" s="470"/>
      <c r="J40" s="470"/>
      <c r="K40" s="470"/>
      <c r="L40" s="470"/>
      <c r="M40" s="470"/>
      <c r="N40" s="470"/>
      <c r="O40" s="71"/>
      <c r="P40" s="95" t="str">
        <f t="shared" si="3"/>
        <v/>
      </c>
      <c r="Q40" s="173"/>
      <c r="R40"/>
      <c r="U40"/>
      <c r="V40"/>
      <c r="W40"/>
      <c r="X40"/>
      <c r="Y40"/>
      <c r="Z40"/>
      <c r="AA40"/>
      <c r="AB40"/>
    </row>
    <row r="41" spans="1:28" ht="41.25" customHeight="1" x14ac:dyDescent="0.2">
      <c r="A41" s="107">
        <v>1</v>
      </c>
      <c r="B41" s="93"/>
      <c r="C41" s="103" t="s">
        <v>222</v>
      </c>
      <c r="D41" s="445" t="s">
        <v>537</v>
      </c>
      <c r="E41" s="568"/>
      <c r="F41" s="568"/>
      <c r="G41" s="568"/>
      <c r="H41" s="568"/>
      <c r="I41" s="568"/>
      <c r="J41" s="568"/>
      <c r="K41" s="568"/>
      <c r="L41" s="568"/>
      <c r="M41" s="568"/>
      <c r="N41" s="569"/>
      <c r="O41" s="71"/>
      <c r="P41" s="95" t="str">
        <f t="shared" si="3"/>
        <v/>
      </c>
      <c r="Q41" s="173"/>
      <c r="R41"/>
      <c r="U41"/>
      <c r="V41"/>
      <c r="W41"/>
      <c r="X41"/>
      <c r="Y41"/>
      <c r="Z41"/>
      <c r="AA41"/>
      <c r="AB41"/>
    </row>
    <row r="42" spans="1:28" ht="34.5" customHeight="1" x14ac:dyDescent="0.2">
      <c r="A42" s="107"/>
      <c r="B42" s="93"/>
      <c r="C42" s="97" t="s">
        <v>223</v>
      </c>
      <c r="D42" s="445" t="s">
        <v>538</v>
      </c>
      <c r="E42" s="568"/>
      <c r="F42" s="568"/>
      <c r="G42" s="568"/>
      <c r="H42" s="568"/>
      <c r="I42" s="568"/>
      <c r="J42" s="568"/>
      <c r="K42" s="568"/>
      <c r="L42" s="568"/>
      <c r="M42" s="568"/>
      <c r="N42" s="569"/>
      <c r="O42" s="71"/>
      <c r="P42" s="95" t="str">
        <f t="shared" si="3"/>
        <v/>
      </c>
      <c r="Q42" s="173"/>
      <c r="R42"/>
      <c r="U42"/>
      <c r="V42"/>
      <c r="W42"/>
      <c r="X42"/>
      <c r="Y42"/>
      <c r="Z42"/>
      <c r="AA42"/>
      <c r="AB42"/>
    </row>
    <row r="43" spans="1:28" ht="33" customHeight="1" x14ac:dyDescent="0.2">
      <c r="A43" s="106">
        <v>1</v>
      </c>
      <c r="B43" s="93"/>
      <c r="C43" s="97" t="s">
        <v>224</v>
      </c>
      <c r="D43" s="445" t="s">
        <v>273</v>
      </c>
      <c r="E43" s="568"/>
      <c r="F43" s="568"/>
      <c r="G43" s="568"/>
      <c r="H43" s="568"/>
      <c r="I43" s="568"/>
      <c r="J43" s="568"/>
      <c r="K43" s="568"/>
      <c r="L43" s="568"/>
      <c r="M43" s="568"/>
      <c r="N43" s="569"/>
      <c r="O43" s="71"/>
      <c r="P43" s="95" t="str">
        <f t="shared" si="3"/>
        <v/>
      </c>
      <c r="Q43" s="173"/>
      <c r="R43"/>
      <c r="U43"/>
      <c r="V43"/>
      <c r="W43"/>
      <c r="X43"/>
      <c r="Y43"/>
      <c r="Z43"/>
      <c r="AA43"/>
      <c r="AB43"/>
    </row>
    <row r="44" spans="1:28" ht="35.25" customHeight="1" x14ac:dyDescent="0.2">
      <c r="A44" s="107" t="s">
        <v>73</v>
      </c>
      <c r="C44" s="103" t="s">
        <v>225</v>
      </c>
      <c r="D44" s="567" t="s">
        <v>274</v>
      </c>
      <c r="E44" s="470"/>
      <c r="F44" s="470"/>
      <c r="G44" s="470"/>
      <c r="H44" s="470"/>
      <c r="I44" s="470"/>
      <c r="J44" s="470"/>
      <c r="K44" s="470"/>
      <c r="L44" s="470"/>
      <c r="M44" s="470"/>
      <c r="N44" s="470"/>
      <c r="O44" s="71"/>
      <c r="P44" s="95" t="str">
        <f t="shared" si="3"/>
        <v/>
      </c>
      <c r="Q44" s="173"/>
      <c r="R44"/>
      <c r="U44"/>
      <c r="V44"/>
      <c r="W44"/>
      <c r="X44"/>
      <c r="Y44"/>
      <c r="Z44"/>
      <c r="AA44"/>
      <c r="AB44"/>
    </row>
    <row r="45" spans="1:28" ht="35.25" customHeight="1" x14ac:dyDescent="0.2">
      <c r="B45" s="93"/>
      <c r="C45" s="97" t="s">
        <v>226</v>
      </c>
      <c r="D45" s="445" t="s">
        <v>275</v>
      </c>
      <c r="E45" s="568"/>
      <c r="F45" s="568"/>
      <c r="G45" s="568"/>
      <c r="H45" s="568"/>
      <c r="I45" s="568"/>
      <c r="J45" s="568"/>
      <c r="K45" s="568"/>
      <c r="L45" s="568"/>
      <c r="M45" s="568"/>
      <c r="N45" s="569"/>
      <c r="O45" s="71"/>
      <c r="P45" s="95" t="str">
        <f t="shared" si="3"/>
        <v/>
      </c>
      <c r="Q45" s="173"/>
      <c r="R45"/>
      <c r="U45"/>
      <c r="V45"/>
      <c r="W45"/>
      <c r="X45"/>
      <c r="Y45"/>
      <c r="Z45"/>
      <c r="AA45"/>
      <c r="AB45"/>
    </row>
    <row r="46" spans="1:28" ht="18" customHeight="1" x14ac:dyDescent="0.2">
      <c r="C46" s="97" t="s">
        <v>227</v>
      </c>
      <c r="D46" s="445" t="s">
        <v>276</v>
      </c>
      <c r="E46" s="570"/>
      <c r="F46" s="570"/>
      <c r="G46" s="570"/>
      <c r="H46" s="570"/>
      <c r="I46" s="570"/>
      <c r="J46" s="570"/>
      <c r="K46" s="570"/>
      <c r="L46" s="570"/>
      <c r="M46" s="570"/>
      <c r="N46" s="570"/>
      <c r="O46" s="71"/>
      <c r="P46" s="95" t="str">
        <f t="shared" si="3"/>
        <v/>
      </c>
      <c r="Q46" s="173"/>
      <c r="R46"/>
      <c r="U46"/>
      <c r="V46"/>
      <c r="W46"/>
      <c r="X46"/>
      <c r="Y46"/>
      <c r="Z46"/>
      <c r="AA46"/>
      <c r="AB46"/>
    </row>
    <row r="47" spans="1:28" ht="35.25" customHeight="1" x14ac:dyDescent="0.2">
      <c r="A47" s="106">
        <v>1</v>
      </c>
      <c r="C47" s="103" t="s">
        <v>228</v>
      </c>
      <c r="D47" s="445" t="s">
        <v>277</v>
      </c>
      <c r="E47" s="568"/>
      <c r="F47" s="568"/>
      <c r="G47" s="568"/>
      <c r="H47" s="568"/>
      <c r="I47" s="568"/>
      <c r="J47" s="568"/>
      <c r="K47" s="568"/>
      <c r="L47" s="568"/>
      <c r="M47" s="568"/>
      <c r="N47" s="569"/>
      <c r="O47" s="71"/>
      <c r="P47" s="95" t="str">
        <f t="shared" si="3"/>
        <v/>
      </c>
      <c r="R47"/>
      <c r="U47"/>
      <c r="V47"/>
      <c r="W47"/>
      <c r="X47"/>
      <c r="Y47"/>
      <c r="Z47"/>
      <c r="AA47"/>
      <c r="AB47"/>
    </row>
    <row r="48" spans="1:28" ht="57.75" customHeight="1" x14ac:dyDescent="0.2">
      <c r="A48" s="107" t="s">
        <v>69</v>
      </c>
      <c r="C48" s="97" t="s">
        <v>229</v>
      </c>
      <c r="D48" s="565" t="s">
        <v>539</v>
      </c>
      <c r="E48" s="566"/>
      <c r="F48" s="566"/>
      <c r="G48" s="566"/>
      <c r="H48" s="566"/>
      <c r="I48" s="566"/>
      <c r="J48" s="566"/>
      <c r="K48" s="566"/>
      <c r="L48" s="566"/>
      <c r="M48" s="566"/>
      <c r="N48" s="566"/>
      <c r="O48" s="71"/>
      <c r="P48" s="95" t="str">
        <f t="shared" si="3"/>
        <v/>
      </c>
      <c r="Q48" s="171"/>
      <c r="R48"/>
      <c r="U48"/>
      <c r="V48"/>
      <c r="W48"/>
      <c r="X48"/>
      <c r="Y48"/>
      <c r="Z48"/>
      <c r="AA48"/>
      <c r="AB48"/>
    </row>
    <row r="49" spans="1:28" ht="39" customHeight="1" x14ac:dyDescent="0.2">
      <c r="A49" s="106">
        <v>1</v>
      </c>
      <c r="B49" s="93"/>
      <c r="C49" s="97" t="s">
        <v>230</v>
      </c>
      <c r="D49" s="567" t="s">
        <v>540</v>
      </c>
      <c r="E49" s="470"/>
      <c r="F49" s="470"/>
      <c r="G49" s="470"/>
      <c r="H49" s="470"/>
      <c r="I49" s="470"/>
      <c r="J49" s="470"/>
      <c r="K49" s="470"/>
      <c r="L49" s="470"/>
      <c r="M49" s="470"/>
      <c r="N49" s="471"/>
      <c r="O49" s="71"/>
      <c r="P49" s="95" t="str">
        <f t="shared" si="3"/>
        <v/>
      </c>
      <c r="Q49" s="123"/>
      <c r="R49"/>
      <c r="U49"/>
      <c r="V49"/>
      <c r="W49"/>
      <c r="X49"/>
      <c r="Y49"/>
      <c r="Z49"/>
      <c r="AA49"/>
      <c r="AB49"/>
    </row>
    <row r="50" spans="1:28" ht="19.5" customHeight="1" x14ac:dyDescent="0.2">
      <c r="A50" s="107" t="s">
        <v>73</v>
      </c>
      <c r="C50" s="580" t="s">
        <v>278</v>
      </c>
      <c r="D50" s="470"/>
      <c r="E50" s="470"/>
      <c r="F50" s="470"/>
      <c r="G50" s="470"/>
      <c r="H50" s="470"/>
      <c r="I50" s="470"/>
      <c r="J50" s="470"/>
      <c r="K50" s="470"/>
      <c r="L50" s="470"/>
      <c r="M50" s="470"/>
      <c r="N50" s="470"/>
      <c r="O50" s="347"/>
      <c r="P50" s="344"/>
      <c r="Q50" s="99"/>
      <c r="R50"/>
      <c r="U50"/>
      <c r="V50"/>
      <c r="W50"/>
      <c r="X50"/>
      <c r="Y50"/>
      <c r="Z50"/>
      <c r="AA50"/>
      <c r="AB50"/>
    </row>
    <row r="51" spans="1:28" ht="25.5" customHeight="1" x14ac:dyDescent="0.2">
      <c r="A51" s="107" t="s">
        <v>69</v>
      </c>
      <c r="B51" s="93"/>
      <c r="C51" s="581" t="s">
        <v>17</v>
      </c>
      <c r="D51" s="470"/>
      <c r="E51" s="470"/>
      <c r="F51" s="470"/>
      <c r="G51" s="470"/>
      <c r="H51" s="470"/>
      <c r="I51" s="470"/>
      <c r="J51" s="470"/>
      <c r="K51" s="470"/>
      <c r="L51" s="470"/>
      <c r="M51" s="470"/>
      <c r="N51" s="470"/>
      <c r="O51" s="345"/>
      <c r="Q51" s="359"/>
      <c r="R51"/>
      <c r="U51"/>
      <c r="V51"/>
      <c r="W51"/>
      <c r="X51"/>
      <c r="Y51"/>
      <c r="Z51"/>
      <c r="AA51"/>
      <c r="AB51"/>
    </row>
    <row r="52" spans="1:28" ht="21.75" customHeight="1" x14ac:dyDescent="0.25">
      <c r="A52" s="106">
        <v>1</v>
      </c>
      <c r="B52" s="93"/>
      <c r="C52" s="100" t="s">
        <v>264</v>
      </c>
      <c r="D52" s="576" t="s">
        <v>74</v>
      </c>
      <c r="E52" s="577"/>
      <c r="F52" s="577"/>
      <c r="G52" s="577"/>
      <c r="H52" s="577"/>
      <c r="I52" s="577"/>
      <c r="J52" s="577"/>
      <c r="K52" s="577"/>
      <c r="L52" s="577"/>
      <c r="M52" s="577"/>
      <c r="N52" s="578"/>
      <c r="O52" s="101" t="s">
        <v>265</v>
      </c>
      <c r="P52" s="101" t="s">
        <v>266</v>
      </c>
      <c r="Q52" s="173"/>
      <c r="R52"/>
      <c r="U52"/>
      <c r="V52"/>
      <c r="W52"/>
      <c r="X52"/>
      <c r="Y52"/>
      <c r="Z52"/>
      <c r="AA52"/>
      <c r="AB52"/>
    </row>
    <row r="53" spans="1:28" ht="34.5" customHeight="1" x14ac:dyDescent="0.2">
      <c r="A53" s="106">
        <v>1</v>
      </c>
      <c r="C53" s="94" t="s">
        <v>232</v>
      </c>
      <c r="D53" s="601" t="s">
        <v>279</v>
      </c>
      <c r="E53" s="595"/>
      <c r="F53" s="595"/>
      <c r="G53" s="595"/>
      <c r="H53" s="595"/>
      <c r="I53" s="595"/>
      <c r="J53" s="595"/>
      <c r="K53" s="595"/>
      <c r="L53" s="595"/>
      <c r="M53" s="595"/>
      <c r="N53" s="595"/>
      <c r="O53" s="71"/>
      <c r="P53" s="95" t="str">
        <f t="shared" ref="P53:P60" si="4">IF(O53="","",IF(O53="Yes","Pass",IF(O53="No","Fail","N/A")))</f>
        <v/>
      </c>
      <c r="Q53" s="173"/>
      <c r="R53"/>
      <c r="U53"/>
      <c r="V53"/>
      <c r="W53"/>
      <c r="X53"/>
      <c r="Y53"/>
      <c r="Z53"/>
      <c r="AA53"/>
      <c r="AB53"/>
    </row>
    <row r="54" spans="1:28" ht="60.75" customHeight="1" x14ac:dyDescent="0.2">
      <c r="A54" s="106">
        <v>1</v>
      </c>
      <c r="C54" s="94" t="s">
        <v>233</v>
      </c>
      <c r="D54" s="601" t="s">
        <v>457</v>
      </c>
      <c r="E54" s="605"/>
      <c r="F54" s="605"/>
      <c r="G54" s="605"/>
      <c r="H54" s="605"/>
      <c r="I54" s="605"/>
      <c r="J54" s="605"/>
      <c r="K54" s="605"/>
      <c r="L54" s="605"/>
      <c r="M54" s="605"/>
      <c r="N54" s="606"/>
      <c r="O54" s="71"/>
      <c r="P54" s="95" t="str">
        <f t="shared" si="4"/>
        <v/>
      </c>
      <c r="Q54" s="173"/>
      <c r="R54"/>
      <c r="U54"/>
      <c r="V54"/>
      <c r="W54"/>
      <c r="X54"/>
      <c r="Y54"/>
      <c r="Z54"/>
      <c r="AA54"/>
      <c r="AB54"/>
    </row>
    <row r="55" spans="1:28" ht="38.25" customHeight="1" x14ac:dyDescent="0.2">
      <c r="A55" s="106">
        <v>1</v>
      </c>
      <c r="B55" s="107" t="s">
        <v>70</v>
      </c>
      <c r="C55" s="94" t="s">
        <v>458</v>
      </c>
      <c r="D55" s="602" t="s">
        <v>454</v>
      </c>
      <c r="E55" s="603"/>
      <c r="F55" s="603"/>
      <c r="G55" s="603"/>
      <c r="H55" s="603"/>
      <c r="I55" s="603"/>
      <c r="J55" s="603"/>
      <c r="K55" s="603"/>
      <c r="L55" s="603"/>
      <c r="M55" s="603"/>
      <c r="N55" s="604"/>
      <c r="O55" s="71"/>
      <c r="P55" s="95" t="str">
        <f t="shared" si="4"/>
        <v/>
      </c>
      <c r="Q55" s="173"/>
      <c r="R55"/>
      <c r="U55"/>
      <c r="V55"/>
      <c r="W55"/>
      <c r="X55"/>
      <c r="Y55"/>
      <c r="Z55"/>
      <c r="AA55"/>
      <c r="AB55"/>
    </row>
    <row r="56" spans="1:28" ht="68.25" customHeight="1" x14ac:dyDescent="0.2">
      <c r="A56" s="107" t="s">
        <v>73</v>
      </c>
      <c r="C56" s="94" t="s">
        <v>234</v>
      </c>
      <c r="D56" s="594" t="s">
        <v>541</v>
      </c>
      <c r="E56" s="595"/>
      <c r="F56" s="595"/>
      <c r="G56" s="595"/>
      <c r="H56" s="595"/>
      <c r="I56" s="595"/>
      <c r="J56" s="595"/>
      <c r="K56" s="595"/>
      <c r="L56" s="595"/>
      <c r="M56" s="595"/>
      <c r="N56" s="596"/>
      <c r="O56" s="71"/>
      <c r="P56" s="95" t="str">
        <f t="shared" si="4"/>
        <v/>
      </c>
      <c r="Q56" s="173"/>
      <c r="R56"/>
      <c r="U56"/>
      <c r="V56"/>
      <c r="W56"/>
      <c r="X56"/>
      <c r="Y56"/>
      <c r="Z56"/>
      <c r="AA56"/>
      <c r="AB56"/>
    </row>
    <row r="57" spans="1:28" ht="31.5" customHeight="1" x14ac:dyDescent="0.2">
      <c r="B57" s="93"/>
      <c r="C57" s="94" t="s">
        <v>235</v>
      </c>
      <c r="D57" s="602" t="s">
        <v>459</v>
      </c>
      <c r="E57" s="603"/>
      <c r="F57" s="603"/>
      <c r="G57" s="603"/>
      <c r="H57" s="603"/>
      <c r="I57" s="603"/>
      <c r="J57" s="603"/>
      <c r="K57" s="603"/>
      <c r="L57" s="603"/>
      <c r="M57" s="603"/>
      <c r="N57" s="604"/>
      <c r="O57" s="71"/>
      <c r="P57" s="95" t="str">
        <f t="shared" si="4"/>
        <v/>
      </c>
      <c r="Q57" s="173"/>
      <c r="R57"/>
      <c r="U57"/>
      <c r="V57"/>
      <c r="W57"/>
      <c r="X57"/>
      <c r="Y57"/>
      <c r="Z57"/>
      <c r="AA57"/>
      <c r="AB57"/>
    </row>
    <row r="58" spans="1:28" ht="40.5" customHeight="1" x14ac:dyDescent="0.2">
      <c r="C58" s="104" t="s">
        <v>460</v>
      </c>
      <c r="D58" s="597" t="s">
        <v>455</v>
      </c>
      <c r="E58" s="595"/>
      <c r="F58" s="595"/>
      <c r="G58" s="595"/>
      <c r="H58" s="595"/>
      <c r="I58" s="595"/>
      <c r="J58" s="595"/>
      <c r="K58" s="595"/>
      <c r="L58" s="595"/>
      <c r="M58" s="595"/>
      <c r="N58" s="596"/>
      <c r="O58" s="71"/>
      <c r="P58" s="95" t="str">
        <f t="shared" si="4"/>
        <v/>
      </c>
      <c r="Q58" s="173"/>
      <c r="R58"/>
      <c r="U58"/>
      <c r="V58"/>
      <c r="W58"/>
      <c r="X58"/>
      <c r="Y58"/>
      <c r="Z58"/>
      <c r="AA58"/>
      <c r="AB58"/>
    </row>
    <row r="59" spans="1:28" ht="30" customHeight="1" x14ac:dyDescent="0.2">
      <c r="A59" s="107" t="s">
        <v>70</v>
      </c>
      <c r="C59" s="104" t="s">
        <v>236</v>
      </c>
      <c r="D59" s="598" t="s">
        <v>456</v>
      </c>
      <c r="E59" s="599"/>
      <c r="F59" s="599"/>
      <c r="G59" s="599"/>
      <c r="H59" s="599"/>
      <c r="I59" s="599"/>
      <c r="J59" s="599"/>
      <c r="K59" s="599"/>
      <c r="L59" s="599"/>
      <c r="M59" s="599"/>
      <c r="N59" s="600"/>
      <c r="O59" s="71"/>
      <c r="P59" s="95" t="str">
        <f t="shared" si="4"/>
        <v/>
      </c>
      <c r="Q59" s="173"/>
      <c r="R59"/>
      <c r="U59"/>
      <c r="V59"/>
      <c r="W59"/>
      <c r="X59"/>
      <c r="Y59"/>
      <c r="Z59"/>
      <c r="AA59"/>
      <c r="AB59"/>
    </row>
    <row r="60" spans="1:28" ht="30" customHeight="1" x14ac:dyDescent="0.2">
      <c r="A60" s="107" t="s">
        <v>70</v>
      </c>
      <c r="B60" s="93"/>
      <c r="C60" s="104" t="s">
        <v>237</v>
      </c>
      <c r="D60" s="598" t="s">
        <v>280</v>
      </c>
      <c r="E60" s="599"/>
      <c r="F60" s="599"/>
      <c r="G60" s="599"/>
      <c r="H60" s="599"/>
      <c r="I60" s="599"/>
      <c r="J60" s="599"/>
      <c r="K60" s="599"/>
      <c r="L60" s="599"/>
      <c r="M60" s="599"/>
      <c r="N60" s="600"/>
      <c r="O60" s="71"/>
      <c r="P60" s="95" t="str">
        <f t="shared" si="4"/>
        <v/>
      </c>
      <c r="Q60" s="171"/>
      <c r="R60"/>
      <c r="U60"/>
      <c r="V60"/>
      <c r="W60"/>
      <c r="X60"/>
      <c r="Y60"/>
      <c r="Z60"/>
      <c r="AA60"/>
      <c r="AB60"/>
    </row>
    <row r="61" spans="1:28" ht="22.5" customHeight="1" x14ac:dyDescent="0.2">
      <c r="A61" s="107" t="s">
        <v>69</v>
      </c>
      <c r="B61" s="107" t="s">
        <v>69</v>
      </c>
      <c r="C61" s="580" t="s">
        <v>281</v>
      </c>
      <c r="D61" s="470"/>
      <c r="E61" s="470"/>
      <c r="F61" s="470"/>
      <c r="G61" s="470"/>
      <c r="H61" s="470"/>
      <c r="I61" s="470"/>
      <c r="J61" s="470"/>
      <c r="K61" s="470"/>
      <c r="L61" s="470"/>
      <c r="M61" s="470"/>
      <c r="N61" s="470"/>
      <c r="O61" s="347"/>
      <c r="P61" s="345"/>
      <c r="Q61" s="172"/>
      <c r="R61"/>
      <c r="U61"/>
      <c r="V61"/>
      <c r="W61"/>
      <c r="X61"/>
      <c r="Y61"/>
      <c r="Z61"/>
      <c r="AA61"/>
      <c r="AB61"/>
    </row>
    <row r="62" spans="1:28" ht="28.5" customHeight="1" x14ac:dyDescent="0.2">
      <c r="A62" s="107"/>
      <c r="B62" s="147"/>
      <c r="C62" s="581" t="s">
        <v>17</v>
      </c>
      <c r="D62" s="470"/>
      <c r="E62" s="470"/>
      <c r="F62" s="470"/>
      <c r="G62" s="470"/>
      <c r="H62" s="470"/>
      <c r="I62" s="470"/>
      <c r="J62" s="470"/>
      <c r="K62" s="470"/>
      <c r="L62" s="470"/>
      <c r="M62" s="470"/>
      <c r="N62" s="470"/>
      <c r="O62" s="345"/>
      <c r="Q62" s="171"/>
      <c r="R62"/>
      <c r="U62"/>
      <c r="V62"/>
      <c r="W62"/>
      <c r="X62"/>
      <c r="Y62"/>
      <c r="Z62"/>
      <c r="AA62"/>
      <c r="AB62"/>
    </row>
    <row r="63" spans="1:28" ht="30" customHeight="1" x14ac:dyDescent="0.25">
      <c r="A63" s="107" t="s">
        <v>70</v>
      </c>
      <c r="B63" s="93"/>
      <c r="C63" s="100" t="s">
        <v>264</v>
      </c>
      <c r="D63" s="573" t="s">
        <v>75</v>
      </c>
      <c r="E63" s="574"/>
      <c r="F63" s="574"/>
      <c r="G63" s="574"/>
      <c r="H63" s="574"/>
      <c r="I63" s="574"/>
      <c r="J63" s="574"/>
      <c r="K63" s="574"/>
      <c r="L63" s="574"/>
      <c r="M63" s="574"/>
      <c r="N63" s="440"/>
      <c r="O63" s="101" t="s">
        <v>265</v>
      </c>
      <c r="P63" s="101" t="s">
        <v>266</v>
      </c>
      <c r="Q63" s="359"/>
      <c r="R63"/>
      <c r="U63"/>
      <c r="V63"/>
      <c r="W63"/>
      <c r="X63"/>
      <c r="Y63"/>
      <c r="Z63"/>
      <c r="AA63"/>
      <c r="AB63"/>
    </row>
    <row r="64" spans="1:28" ht="30" customHeight="1" x14ac:dyDescent="0.2">
      <c r="A64" s="107" t="s">
        <v>70</v>
      </c>
      <c r="B64" s="93"/>
      <c r="C64" s="94" t="s">
        <v>239</v>
      </c>
      <c r="D64" s="567" t="s">
        <v>461</v>
      </c>
      <c r="E64" s="470"/>
      <c r="F64" s="470"/>
      <c r="G64" s="470"/>
      <c r="H64" s="470"/>
      <c r="I64" s="470"/>
      <c r="J64" s="470"/>
      <c r="K64" s="470"/>
      <c r="L64" s="470"/>
      <c r="M64" s="470"/>
      <c r="N64" s="471"/>
      <c r="O64" s="71"/>
      <c r="P64" s="95" t="str">
        <f t="shared" ref="P64:P69" si="5">IF(O64="","",IF(O64="Yes","Pass",IF(O64="No","Fail","N/A")))</f>
        <v/>
      </c>
      <c r="Q64" s="173"/>
      <c r="R64"/>
      <c r="U64"/>
      <c r="V64"/>
      <c r="W64"/>
      <c r="X64"/>
      <c r="Y64"/>
      <c r="Z64"/>
      <c r="AA64"/>
      <c r="AB64"/>
    </row>
    <row r="65" spans="1:28" ht="33.75" customHeight="1" x14ac:dyDescent="0.2">
      <c r="A65" s="107" t="s">
        <v>76</v>
      </c>
      <c r="B65" s="93"/>
      <c r="C65" s="94" t="s">
        <v>240</v>
      </c>
      <c r="D65" s="567" t="s">
        <v>282</v>
      </c>
      <c r="E65" s="470"/>
      <c r="F65" s="470"/>
      <c r="G65" s="470"/>
      <c r="H65" s="470"/>
      <c r="I65" s="470"/>
      <c r="J65" s="470"/>
      <c r="K65" s="470"/>
      <c r="L65" s="470"/>
      <c r="M65" s="470"/>
      <c r="N65" s="471"/>
      <c r="O65" s="71"/>
      <c r="P65" s="95" t="str">
        <f t="shared" si="5"/>
        <v/>
      </c>
      <c r="Q65" s="173"/>
      <c r="R65"/>
      <c r="U65"/>
      <c r="V65"/>
      <c r="W65"/>
      <c r="X65"/>
      <c r="Y65"/>
      <c r="Z65"/>
      <c r="AA65"/>
      <c r="AB65"/>
    </row>
    <row r="66" spans="1:28" ht="49.5" customHeight="1" x14ac:dyDescent="0.2">
      <c r="A66" s="106">
        <v>1</v>
      </c>
      <c r="B66" s="93"/>
      <c r="C66" s="94" t="s">
        <v>241</v>
      </c>
      <c r="D66" s="567" t="s">
        <v>462</v>
      </c>
      <c r="E66" s="470"/>
      <c r="F66" s="470"/>
      <c r="G66" s="470"/>
      <c r="H66" s="470"/>
      <c r="I66" s="470"/>
      <c r="J66" s="470"/>
      <c r="K66" s="470"/>
      <c r="L66" s="470"/>
      <c r="M66" s="470"/>
      <c r="N66" s="471"/>
      <c r="O66" s="71"/>
      <c r="P66" s="95" t="str">
        <f t="shared" si="5"/>
        <v/>
      </c>
      <c r="Q66" s="173"/>
      <c r="R66"/>
      <c r="U66"/>
      <c r="V66"/>
      <c r="W66"/>
      <c r="X66"/>
      <c r="Y66"/>
      <c r="Z66"/>
      <c r="AA66"/>
      <c r="AB66"/>
    </row>
    <row r="67" spans="1:28" ht="35.25" customHeight="1" x14ac:dyDescent="0.2">
      <c r="A67" s="107" t="s">
        <v>73</v>
      </c>
      <c r="C67" s="148" t="s">
        <v>542</v>
      </c>
      <c r="D67" s="593" t="s">
        <v>464</v>
      </c>
      <c r="E67" s="470"/>
      <c r="F67" s="470"/>
      <c r="G67" s="470"/>
      <c r="H67" s="470"/>
      <c r="I67" s="470"/>
      <c r="J67" s="470"/>
      <c r="K67" s="470"/>
      <c r="L67" s="470"/>
      <c r="M67" s="470"/>
      <c r="N67" s="470"/>
      <c r="O67" s="71"/>
      <c r="P67" s="95" t="str">
        <f t="shared" si="5"/>
        <v/>
      </c>
      <c r="Q67" s="173"/>
      <c r="R67"/>
      <c r="U67"/>
      <c r="V67"/>
      <c r="W67"/>
      <c r="X67"/>
      <c r="Y67"/>
      <c r="Z67"/>
      <c r="AA67"/>
      <c r="AB67"/>
    </row>
    <row r="68" spans="1:28" ht="36" customHeight="1" x14ac:dyDescent="0.2">
      <c r="B68" s="93"/>
      <c r="C68" s="94" t="s">
        <v>242</v>
      </c>
      <c r="D68" s="469" t="s">
        <v>546</v>
      </c>
      <c r="E68" s="470"/>
      <c r="F68" s="470"/>
      <c r="G68" s="470"/>
      <c r="H68" s="470"/>
      <c r="I68" s="470"/>
      <c r="J68" s="470"/>
      <c r="K68" s="470"/>
      <c r="L68" s="470"/>
      <c r="M68" s="470"/>
      <c r="N68" s="471"/>
      <c r="O68" s="71"/>
      <c r="P68" s="95" t="str">
        <f t="shared" si="5"/>
        <v/>
      </c>
      <c r="Q68" s="173"/>
      <c r="R68"/>
      <c r="U68"/>
      <c r="V68"/>
      <c r="W68"/>
      <c r="X68"/>
      <c r="Y68"/>
      <c r="Z68"/>
      <c r="AA68"/>
      <c r="AB68"/>
    </row>
    <row r="69" spans="1:28" ht="52.5" customHeight="1" x14ac:dyDescent="0.2">
      <c r="C69" s="94" t="s">
        <v>243</v>
      </c>
      <c r="D69" s="469" t="s">
        <v>547</v>
      </c>
      <c r="E69" s="470"/>
      <c r="F69" s="470"/>
      <c r="G69" s="470"/>
      <c r="H69" s="470"/>
      <c r="I69" s="470"/>
      <c r="J69" s="470"/>
      <c r="K69" s="470"/>
      <c r="L69" s="470"/>
      <c r="M69" s="470"/>
      <c r="N69" s="471"/>
      <c r="O69" s="71"/>
      <c r="P69" s="95" t="str">
        <f t="shared" si="5"/>
        <v/>
      </c>
      <c r="Q69" s="173"/>
      <c r="R69"/>
      <c r="U69"/>
      <c r="V69"/>
      <c r="W69"/>
      <c r="X69"/>
      <c r="Y69"/>
      <c r="Z69"/>
      <c r="AA69"/>
      <c r="AB69"/>
    </row>
    <row r="70" spans="1:28" ht="21" customHeight="1" x14ac:dyDescent="0.25">
      <c r="A70" s="107" t="s">
        <v>70</v>
      </c>
      <c r="C70" s="608" t="s">
        <v>283</v>
      </c>
      <c r="D70" s="486"/>
      <c r="E70" s="486"/>
      <c r="F70" s="486"/>
      <c r="G70" s="486"/>
      <c r="H70" s="486"/>
      <c r="I70" s="486"/>
      <c r="J70" s="486"/>
      <c r="K70" s="486"/>
      <c r="L70" s="486"/>
      <c r="M70" s="486"/>
      <c r="N70" s="486"/>
      <c r="O70" s="348"/>
      <c r="P70" s="342"/>
      <c r="Q70" s="173"/>
      <c r="R70"/>
      <c r="U70"/>
      <c r="V70"/>
      <c r="W70"/>
      <c r="X70"/>
      <c r="Y70"/>
      <c r="Z70"/>
      <c r="AA70"/>
      <c r="AB70"/>
    </row>
    <row r="71" spans="1:28" ht="29.25" customHeight="1" x14ac:dyDescent="0.25">
      <c r="A71" s="107" t="s">
        <v>285</v>
      </c>
      <c r="B71" s="93"/>
      <c r="C71" s="581" t="s">
        <v>17</v>
      </c>
      <c r="D71" s="470"/>
      <c r="E71" s="470"/>
      <c r="F71" s="470"/>
      <c r="G71" s="470"/>
      <c r="H71" s="470"/>
      <c r="I71" s="470"/>
      <c r="J71" s="470"/>
      <c r="K71" s="470"/>
      <c r="L71" s="470"/>
      <c r="M71" s="470"/>
      <c r="N71" s="470"/>
      <c r="O71" s="345"/>
      <c r="Q71" s="352"/>
      <c r="R71"/>
      <c r="U71"/>
      <c r="V71"/>
      <c r="W71"/>
      <c r="X71"/>
      <c r="Y71"/>
      <c r="Z71"/>
      <c r="AA71"/>
      <c r="AB71"/>
    </row>
    <row r="72" spans="1:28" ht="21.75" customHeight="1" x14ac:dyDescent="0.25">
      <c r="A72" s="107" t="s">
        <v>76</v>
      </c>
      <c r="B72" s="107" t="s">
        <v>286</v>
      </c>
      <c r="C72" s="100" t="s">
        <v>264</v>
      </c>
      <c r="D72" s="573" t="s">
        <v>77</v>
      </c>
      <c r="E72" s="574"/>
      <c r="F72" s="574"/>
      <c r="G72" s="574"/>
      <c r="H72" s="574"/>
      <c r="I72" s="574"/>
      <c r="J72" s="574"/>
      <c r="K72" s="574"/>
      <c r="L72" s="574"/>
      <c r="M72" s="574"/>
      <c r="N72" s="574"/>
      <c r="O72" s="101" t="s">
        <v>265</v>
      </c>
      <c r="P72" s="101" t="s">
        <v>266</v>
      </c>
      <c r="Q72" s="172"/>
      <c r="R72"/>
      <c r="U72"/>
      <c r="V72"/>
      <c r="W72"/>
      <c r="X72"/>
      <c r="Y72"/>
      <c r="Z72"/>
      <c r="AA72"/>
      <c r="AB72"/>
    </row>
    <row r="73" spans="1:28" ht="36" customHeight="1" x14ac:dyDescent="0.2">
      <c r="A73" s="107" t="s">
        <v>287</v>
      </c>
      <c r="B73" s="107" t="s">
        <v>80</v>
      </c>
      <c r="C73" s="102" t="s">
        <v>245</v>
      </c>
      <c r="D73" s="607" t="s">
        <v>284</v>
      </c>
      <c r="E73" s="470"/>
      <c r="F73" s="470"/>
      <c r="G73" s="470"/>
      <c r="H73" s="470"/>
      <c r="I73" s="470"/>
      <c r="J73" s="470"/>
      <c r="K73" s="470"/>
      <c r="L73" s="470"/>
      <c r="M73" s="470"/>
      <c r="N73" s="470"/>
      <c r="O73" s="71"/>
      <c r="P73" s="95" t="str">
        <f>IF(O73="","",IF(O73="Yes","Fail",IF(O73="No","Pass","N/A")))</f>
        <v/>
      </c>
      <c r="R73"/>
      <c r="U73"/>
      <c r="V73"/>
      <c r="W73"/>
      <c r="X73"/>
      <c r="Y73"/>
      <c r="Z73"/>
      <c r="AA73"/>
      <c r="AB73"/>
    </row>
    <row r="74" spans="1:28" ht="189" customHeight="1" x14ac:dyDescent="0.2">
      <c r="A74" s="107" t="s">
        <v>288</v>
      </c>
      <c r="B74" s="93"/>
      <c r="C74" s="102" t="s">
        <v>246</v>
      </c>
      <c r="D74" s="609" t="s">
        <v>552</v>
      </c>
      <c r="E74" s="470"/>
      <c r="F74" s="470"/>
      <c r="G74" s="470"/>
      <c r="H74" s="470"/>
      <c r="I74" s="470"/>
      <c r="J74" s="470"/>
      <c r="K74" s="470"/>
      <c r="L74" s="470"/>
      <c r="M74" s="470"/>
      <c r="N74" s="470"/>
      <c r="O74" s="71"/>
      <c r="P74" s="95" t="str">
        <f>IF(O74="","",IF(O74="Yes","Fail",IF(O74="No","Pass","N/A")))</f>
        <v/>
      </c>
      <c r="Q74" s="359"/>
      <c r="R74"/>
      <c r="U74"/>
      <c r="V74"/>
      <c r="W74"/>
      <c r="X74"/>
      <c r="Y74"/>
      <c r="Z74"/>
      <c r="AA74"/>
      <c r="AB74"/>
    </row>
    <row r="75" spans="1:28" ht="94.5" customHeight="1" x14ac:dyDescent="0.2">
      <c r="A75" s="107" t="s">
        <v>81</v>
      </c>
      <c r="B75" s="93"/>
      <c r="C75" s="102" t="s">
        <v>247</v>
      </c>
      <c r="D75" s="609" t="s">
        <v>551</v>
      </c>
      <c r="E75" s="470"/>
      <c r="F75" s="470"/>
      <c r="G75" s="470"/>
      <c r="H75" s="470"/>
      <c r="I75" s="470"/>
      <c r="J75" s="470"/>
      <c r="K75" s="470"/>
      <c r="L75" s="470"/>
      <c r="M75" s="470"/>
      <c r="N75" s="470"/>
      <c r="O75" s="71"/>
      <c r="P75" s="95" t="str">
        <f t="shared" ref="P75:P82" si="6">IF(O75="","",IF(O75="Yes","Pass",IF(O75="No","Fail","N/A")))</f>
        <v/>
      </c>
      <c r="Q75" s="173"/>
      <c r="R75"/>
      <c r="U75"/>
      <c r="V75"/>
      <c r="W75"/>
      <c r="X75"/>
      <c r="Y75"/>
      <c r="Z75"/>
      <c r="AA75"/>
      <c r="AB75"/>
    </row>
    <row r="76" spans="1:28" ht="126" customHeight="1" x14ac:dyDescent="0.2">
      <c r="A76" s="107" t="s">
        <v>69</v>
      </c>
      <c r="B76" s="93"/>
      <c r="C76" s="102" t="s">
        <v>248</v>
      </c>
      <c r="D76" s="579" t="s">
        <v>550</v>
      </c>
      <c r="E76" s="572"/>
      <c r="F76" s="572"/>
      <c r="G76" s="572"/>
      <c r="H76" s="572"/>
      <c r="I76" s="572"/>
      <c r="J76" s="572"/>
      <c r="K76" s="572"/>
      <c r="L76" s="572"/>
      <c r="M76" s="572"/>
      <c r="N76" s="572"/>
      <c r="O76" s="71"/>
      <c r="P76" s="95" t="str">
        <f t="shared" si="6"/>
        <v/>
      </c>
      <c r="Q76" s="173"/>
      <c r="R76"/>
      <c r="U76"/>
      <c r="V76"/>
      <c r="W76"/>
      <c r="X76"/>
      <c r="Y76"/>
      <c r="Z76"/>
      <c r="AA76"/>
      <c r="AB76"/>
    </row>
    <row r="77" spans="1:28" ht="78" customHeight="1" x14ac:dyDescent="0.2">
      <c r="A77" s="107" t="s">
        <v>288</v>
      </c>
      <c r="B77" s="93"/>
      <c r="C77" s="102" t="s">
        <v>249</v>
      </c>
      <c r="D77" s="579" t="s">
        <v>289</v>
      </c>
      <c r="E77" s="572"/>
      <c r="F77" s="572"/>
      <c r="G77" s="572"/>
      <c r="H77" s="572"/>
      <c r="I77" s="572"/>
      <c r="J77" s="572"/>
      <c r="K77" s="572"/>
      <c r="L77" s="572"/>
      <c r="M77" s="572"/>
      <c r="N77" s="582"/>
      <c r="O77" s="71"/>
      <c r="P77" s="95" t="str">
        <f t="shared" si="6"/>
        <v/>
      </c>
      <c r="Q77" s="173"/>
      <c r="R77"/>
      <c r="U77"/>
      <c r="V77"/>
      <c r="W77"/>
      <c r="X77"/>
      <c r="Y77"/>
      <c r="Z77"/>
      <c r="AA77"/>
      <c r="AB77"/>
    </row>
    <row r="78" spans="1:28" ht="108.75" customHeight="1" x14ac:dyDescent="0.2">
      <c r="A78" s="107" t="s">
        <v>73</v>
      </c>
      <c r="B78" s="93"/>
      <c r="C78" s="102" t="s">
        <v>250</v>
      </c>
      <c r="D78" s="579" t="s">
        <v>543</v>
      </c>
      <c r="E78" s="572"/>
      <c r="F78" s="572"/>
      <c r="G78" s="572"/>
      <c r="H78" s="572"/>
      <c r="I78" s="572"/>
      <c r="J78" s="572"/>
      <c r="K78" s="572"/>
      <c r="L78" s="572"/>
      <c r="M78" s="572"/>
      <c r="N78" s="582"/>
      <c r="O78" s="71"/>
      <c r="P78" s="95" t="str">
        <f t="shared" si="6"/>
        <v/>
      </c>
      <c r="Q78" s="173"/>
      <c r="R78"/>
      <c r="U78"/>
      <c r="V78"/>
      <c r="W78"/>
      <c r="X78"/>
      <c r="Y78"/>
      <c r="Z78"/>
      <c r="AA78"/>
      <c r="AB78"/>
    </row>
    <row r="79" spans="1:28" ht="36" customHeight="1" x14ac:dyDescent="0.2">
      <c r="A79" s="107" t="s">
        <v>81</v>
      </c>
      <c r="B79" s="93"/>
      <c r="C79" s="102" t="s">
        <v>251</v>
      </c>
      <c r="D79" s="567" t="s">
        <v>290</v>
      </c>
      <c r="E79" s="572"/>
      <c r="F79" s="572"/>
      <c r="G79" s="572"/>
      <c r="H79" s="572"/>
      <c r="I79" s="572"/>
      <c r="J79" s="572"/>
      <c r="K79" s="572"/>
      <c r="L79" s="572"/>
      <c r="M79" s="572"/>
      <c r="N79" s="582"/>
      <c r="O79" s="71"/>
      <c r="P79" s="95" t="str">
        <f t="shared" si="6"/>
        <v/>
      </c>
      <c r="Q79" s="173"/>
      <c r="R79"/>
      <c r="U79"/>
      <c r="V79"/>
      <c r="W79"/>
      <c r="X79"/>
      <c r="Y79"/>
      <c r="Z79"/>
      <c r="AA79"/>
      <c r="AB79"/>
    </row>
    <row r="80" spans="1:28" ht="91.5" customHeight="1" x14ac:dyDescent="0.2">
      <c r="A80" s="107" t="s">
        <v>81</v>
      </c>
      <c r="B80" s="93"/>
      <c r="C80" s="102" t="s">
        <v>252</v>
      </c>
      <c r="D80" s="579" t="s">
        <v>549</v>
      </c>
      <c r="E80" s="572"/>
      <c r="F80" s="572"/>
      <c r="G80" s="572"/>
      <c r="H80" s="572"/>
      <c r="I80" s="572"/>
      <c r="J80" s="572"/>
      <c r="K80" s="572"/>
      <c r="L80" s="572"/>
      <c r="M80" s="572"/>
      <c r="N80" s="582"/>
      <c r="O80" s="71"/>
      <c r="P80" s="95" t="str">
        <f t="shared" si="6"/>
        <v/>
      </c>
      <c r="Q80" s="173"/>
      <c r="R80"/>
      <c r="U80"/>
      <c r="V80"/>
      <c r="W80"/>
      <c r="X80"/>
      <c r="Y80"/>
      <c r="Z80"/>
      <c r="AA80"/>
      <c r="AB80"/>
    </row>
    <row r="81" spans="1:18" ht="61.5" customHeight="1" x14ac:dyDescent="0.2">
      <c r="A81" s="107" t="s">
        <v>288</v>
      </c>
      <c r="B81" s="93"/>
      <c r="C81" s="102" t="s">
        <v>253</v>
      </c>
      <c r="D81" s="579" t="s">
        <v>291</v>
      </c>
      <c r="E81" s="572"/>
      <c r="F81" s="572"/>
      <c r="G81" s="572"/>
      <c r="H81" s="572"/>
      <c r="I81" s="572"/>
      <c r="J81" s="572"/>
      <c r="K81" s="572"/>
      <c r="L81" s="572"/>
      <c r="M81" s="572"/>
      <c r="N81" s="582"/>
      <c r="O81" s="71"/>
      <c r="P81" s="95" t="str">
        <f t="shared" si="6"/>
        <v/>
      </c>
      <c r="Q81"/>
      <c r="R81"/>
    </row>
    <row r="82" spans="1:18" ht="78.75" customHeight="1" x14ac:dyDescent="0.2">
      <c r="A82" s="106">
        <v>1</v>
      </c>
      <c r="B82" s="93"/>
      <c r="C82" s="102" t="s">
        <v>254</v>
      </c>
      <c r="D82" s="609" t="s">
        <v>548</v>
      </c>
      <c r="E82" s="470"/>
      <c r="F82" s="470"/>
      <c r="G82" s="470"/>
      <c r="H82" s="470"/>
      <c r="I82" s="470"/>
      <c r="J82" s="470"/>
      <c r="K82" s="470"/>
      <c r="L82" s="470"/>
      <c r="M82" s="470"/>
      <c r="N82" s="471"/>
      <c r="O82" s="71"/>
      <c r="P82" s="95" t="str">
        <f t="shared" si="6"/>
        <v/>
      </c>
      <c r="Q82"/>
      <c r="R82"/>
    </row>
    <row r="83" spans="1:18" ht="20.25" customHeight="1" x14ac:dyDescent="0.2">
      <c r="A83" s="107" t="s">
        <v>73</v>
      </c>
      <c r="C83" s="469" t="s">
        <v>292</v>
      </c>
      <c r="D83" s="470"/>
      <c r="E83" s="470"/>
      <c r="F83" s="470"/>
      <c r="G83" s="470"/>
      <c r="H83" s="470"/>
      <c r="I83" s="470"/>
      <c r="J83" s="470"/>
      <c r="K83" s="470"/>
      <c r="L83" s="470"/>
      <c r="M83" s="470"/>
      <c r="N83" s="470"/>
      <c r="O83" s="346"/>
      <c r="P83" s="95"/>
      <c r="Q83"/>
      <c r="R83"/>
    </row>
    <row r="84" spans="1:18" ht="21" customHeight="1" x14ac:dyDescent="0.2">
      <c r="B84" s="93"/>
      <c r="C84" s="581" t="s">
        <v>17</v>
      </c>
      <c r="D84" s="470"/>
      <c r="E84" s="470"/>
      <c r="F84" s="470"/>
      <c r="G84" s="470"/>
      <c r="H84" s="470"/>
      <c r="I84" s="470"/>
      <c r="J84" s="470"/>
      <c r="K84" s="470"/>
      <c r="L84" s="470"/>
      <c r="M84" s="470"/>
      <c r="N84" s="470"/>
      <c r="O84" s="345"/>
      <c r="P84" s="346"/>
      <c r="Q84"/>
      <c r="R84"/>
    </row>
    <row r="85" spans="1:18" ht="18" x14ac:dyDescent="0.2">
      <c r="P85" s="345"/>
      <c r="Q85" s="173"/>
      <c r="R85" s="173"/>
    </row>
    <row r="86" spans="1:18" ht="18" x14ac:dyDescent="0.2">
      <c r="P86" s="105"/>
      <c r="Q86" s="173"/>
      <c r="R86" s="173"/>
    </row>
    <row r="87" spans="1:18" x14ac:dyDescent="0.2">
      <c r="P87" s="105"/>
      <c r="Q87" s="105"/>
      <c r="R87" s="105"/>
    </row>
    <row r="88" spans="1:18" x14ac:dyDescent="0.2">
      <c r="Q88" s="105"/>
      <c r="R88" s="105"/>
    </row>
    <row r="89" spans="1:18" x14ac:dyDescent="0.2">
      <c r="Q89" s="105"/>
      <c r="R89" s="105"/>
    </row>
    <row r="90" spans="1:18" x14ac:dyDescent="0.2">
      <c r="Q90" s="105"/>
      <c r="R90" s="105"/>
    </row>
  </sheetData>
  <sheetProtection algorithmName="SHA-512" hashValue="gezCUyoJqZexWZ0Vv+ebNPVFBcT+Ti/ZNVjq/ZKMDPNIVheejVnbBOKeVyf7l7FI6S9oGaFPO35TQTbm8XfsuQ==" saltValue="xLT5SnSkcI7SZgMu1fVPqg==" spinCount="100000" sheet="1" objects="1" scenarios="1"/>
  <mergeCells count="83">
    <mergeCell ref="C84:N84"/>
    <mergeCell ref="C61:N61"/>
    <mergeCell ref="C62:N62"/>
    <mergeCell ref="D69:N69"/>
    <mergeCell ref="C70:N70"/>
    <mergeCell ref="C71:N71"/>
    <mergeCell ref="D64:N64"/>
    <mergeCell ref="D65:N65"/>
    <mergeCell ref="D66:N66"/>
    <mergeCell ref="D63:N63"/>
    <mergeCell ref="D67:N67"/>
    <mergeCell ref="D68:N68"/>
    <mergeCell ref="D80:N80"/>
    <mergeCell ref="D81:N81"/>
    <mergeCell ref="D77:N77"/>
    <mergeCell ref="D79:N79"/>
    <mergeCell ref="D37:N37"/>
    <mergeCell ref="D49:N49"/>
    <mergeCell ref="C50:N50"/>
    <mergeCell ref="C51:N51"/>
    <mergeCell ref="D60:N60"/>
    <mergeCell ref="D57:N57"/>
    <mergeCell ref="D58:N58"/>
    <mergeCell ref="D59:N59"/>
    <mergeCell ref="D53:N53"/>
    <mergeCell ref="D54:N54"/>
    <mergeCell ref="D55:N55"/>
    <mergeCell ref="D46:N46"/>
    <mergeCell ref="D47:N47"/>
    <mergeCell ref="D52:N52"/>
    <mergeCell ref="D42:N42"/>
    <mergeCell ref="D43:N43"/>
    <mergeCell ref="D22:N22"/>
    <mergeCell ref="K1:L1"/>
    <mergeCell ref="D10:N10"/>
    <mergeCell ref="D19:N19"/>
    <mergeCell ref="C20:N20"/>
    <mergeCell ref="C21:N21"/>
    <mergeCell ref="D29:N29"/>
    <mergeCell ref="D23:N23"/>
    <mergeCell ref="D24:N24"/>
    <mergeCell ref="D25:N25"/>
    <mergeCell ref="D26:N26"/>
    <mergeCell ref="C27:N27"/>
    <mergeCell ref="C28:N28"/>
    <mergeCell ref="D30:N30"/>
    <mergeCell ref="D31:N31"/>
    <mergeCell ref="D32:N32"/>
    <mergeCell ref="D36:N36"/>
    <mergeCell ref="D33:N33"/>
    <mergeCell ref="C34:N34"/>
    <mergeCell ref="C35:N35"/>
    <mergeCell ref="S1:U1"/>
    <mergeCell ref="T4:U4"/>
    <mergeCell ref="D18:N18"/>
    <mergeCell ref="D14:N14"/>
    <mergeCell ref="D15:N15"/>
    <mergeCell ref="D16:N16"/>
    <mergeCell ref="D17:N17"/>
    <mergeCell ref="K2:L2"/>
    <mergeCell ref="C1:G1"/>
    <mergeCell ref="C2:G2"/>
    <mergeCell ref="D13:N13"/>
    <mergeCell ref="D8:N8"/>
    <mergeCell ref="D9:N9"/>
    <mergeCell ref="D11:N11"/>
    <mergeCell ref="D12:N12"/>
    <mergeCell ref="E5:G5"/>
    <mergeCell ref="D44:N44"/>
    <mergeCell ref="D40:N40"/>
    <mergeCell ref="D39:N39"/>
    <mergeCell ref="D56:N56"/>
    <mergeCell ref="D48:N48"/>
    <mergeCell ref="D41:N41"/>
    <mergeCell ref="D45:N45"/>
    <mergeCell ref="D82:N82"/>
    <mergeCell ref="C83:N83"/>
    <mergeCell ref="D78:N78"/>
    <mergeCell ref="D72:N72"/>
    <mergeCell ref="D73:N73"/>
    <mergeCell ref="D74:N74"/>
    <mergeCell ref="D75:N75"/>
    <mergeCell ref="D76:N76"/>
  </mergeCells>
  <conditionalFormatting sqref="M5">
    <cfRule type="containsText" dxfId="4" priority="4" operator="containsText" text="Fail">
      <formula>NOT(ISERROR(SEARCH("Fail",M5)))</formula>
    </cfRule>
  </conditionalFormatting>
  <conditionalFormatting sqref="P8:R19 P20 P22:R26 P29:R33 Q34:Q46 P36:P37 P39:P49 Q51:Q59 P52:P60 P63:P69 Q63:Q70 P72:P83 Q74:Q80">
    <cfRule type="containsText" dxfId="3" priority="1" operator="containsText" text="Fail">
      <formula>NOT(ISERROR(SEARCH("Fail",P8)))</formula>
    </cfRule>
  </conditionalFormatting>
  <conditionalFormatting sqref="Q85:R86">
    <cfRule type="containsText" dxfId="2" priority="6" operator="containsText" text="Fail">
      <formula>NOT(ISERROR(SEARCH("Fail",Q85)))</formula>
    </cfRule>
  </conditionalFormatting>
  <conditionalFormatting sqref="U1:U3 T4">
    <cfRule type="containsText" dxfId="1" priority="2" operator="containsText" text="Fail">
      <formula>NOT(ISERROR(SEARCH("Fail",T1)))</formula>
    </cfRule>
  </conditionalFormatting>
  <conditionalFormatting sqref="AE9">
    <cfRule type="containsText" dxfId="0" priority="5" operator="containsText" text="Fail">
      <formula>NOT(ISERROR(SEARCH("Fail",AE9)))</formula>
    </cfRule>
  </conditionalFormatting>
  <dataValidations count="4">
    <dataValidation type="list" showErrorMessage="1" errorTitle="Invalid Selection" error="Select either Yes, No, or N/A from the dropdown list. Click &quot;Cancel&quot; below, then update selection." sqref="O73:O82 O23:O26 O53:O60 O39:O49 O64:O69 O37 O30:O33 O9:O19" xr:uid="{C11058D8-008D-4AC0-BC4F-F75908819CEB}">
      <formula1>"Yes,No,N/A"</formula1>
    </dataValidation>
    <dataValidation type="whole" operator="greaterThan" allowBlank="1" showInputMessage="1" showErrorMessage="1" sqref="X9:X34" xr:uid="{F255CD91-9564-40D5-8674-55F445FE0D71}">
      <formula1>0</formula1>
    </dataValidation>
    <dataValidation type="date" operator="greaterThan" allowBlank="1" showInputMessage="1" showErrorMessage="1" sqref="W9:W34" xr:uid="{76198AB8-5157-4861-8F26-899E8A735770}">
      <formula1>36526</formula1>
    </dataValidation>
    <dataValidation type="decimal" operator="greaterThanOrEqual" allowBlank="1" showInputMessage="1" showErrorMessage="1" errorTitle="Input Error" error="Insert the claimed amount with dollars and cents in $0.00 format. Click &quot;Cancel&quot; below and try again." sqref="Y9:Y34" xr:uid="{F1158908-B0EF-4D1F-9921-E0917EB2C938}">
      <formula1>0</formula1>
    </dataValidation>
  </dataValidations>
  <pageMargins left="0.7" right="0.7" top="1" bottom="0.75" header="0.3" footer="0.3"/>
  <pageSetup scale="70" fitToHeight="0" orientation="portrait" r:id="rId1"/>
  <headerFooter>
    <oddHeader>&amp;CConfidential QI Report
San Diego County Mental Health Plan
Behavioral Health Services
Fiscal Year 23-24</oddHeader>
    <oddFooter>&amp;LFY 23-24 Medical Record Review Report - Excel - Rev. 7-1-23</oddFooter>
  </headerFooter>
  <colBreaks count="1" manualBreakCount="1">
    <brk id="16" max="84" man="1"/>
  </colBreaks>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F49F993A-F103-4E12-BED5-196662945379}">
          <x14:formula1>
            <xm:f>Validations!$E$4:$E$15</xm:f>
          </x14:formula1>
          <xm:sqref>Z9:Z34</xm:sqref>
        </x14:dataValidation>
        <x14:dataValidation type="list" allowBlank="1" showInputMessage="1" showErrorMessage="1" xr:uid="{988C0D24-57C6-493E-922C-95FC62890D21}">
          <x14:formula1>
            <xm:f>Validations!$D$4:$D$7</xm:f>
          </x14:formula1>
          <xm:sqref>AA9:AA34</xm:sqref>
        </x14:dataValidation>
        <x14:dataValidation type="list" allowBlank="1" showInputMessage="1" showErrorMessage="1" xr:uid="{9732B35F-5DBB-47A8-933B-C5037C195143}">
          <x14:formula1>
            <xm:f>Validations!$C$4:$C$54</xm:f>
          </x14:formula1>
          <xm:sqref>V9:V34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73677-5A44-4848-A0D0-0B33F17E51AD}">
  <sheetPr>
    <pageSetUpPr fitToPage="1"/>
  </sheetPr>
  <dimension ref="A1:V25"/>
  <sheetViews>
    <sheetView view="pageBreakPreview" zoomScaleNormal="100" zoomScaleSheetLayoutView="100" workbookViewId="0">
      <selection activeCell="AB10" sqref="AB10"/>
    </sheetView>
  </sheetViews>
  <sheetFormatPr defaultColWidth="8.85546875" defaultRowHeight="14.25" x14ac:dyDescent="0.2"/>
  <cols>
    <col min="1" max="1" width="5.42578125" style="215" customWidth="1"/>
    <col min="2" max="3" width="8.85546875" style="215"/>
    <col min="4" max="4" width="7.42578125" style="215" customWidth="1"/>
    <col min="5" max="5" width="10.85546875" style="215" bestFit="1" customWidth="1"/>
    <col min="6" max="6" width="8.85546875" style="215"/>
    <col min="7" max="7" width="5.5703125" style="215" customWidth="1"/>
    <col min="8" max="8" width="5" style="215" customWidth="1"/>
    <col min="9" max="9" width="8.85546875" style="215"/>
    <col min="10" max="10" width="8.140625" style="215" customWidth="1"/>
    <col min="11" max="11" width="7.5703125" style="215" customWidth="1"/>
    <col min="12" max="12" width="6.85546875" style="215" customWidth="1"/>
    <col min="13" max="13" width="6.140625" style="215" customWidth="1"/>
    <col min="14" max="14" width="5.42578125" style="215" customWidth="1"/>
    <col min="15" max="18" width="0" style="215" hidden="1" customWidth="1"/>
    <col min="19" max="16384" width="8.85546875" style="215"/>
  </cols>
  <sheetData>
    <row r="1" spans="1:22" ht="47.1" customHeight="1" thickBot="1" x14ac:dyDescent="0.3">
      <c r="A1" s="631" t="s">
        <v>382</v>
      </c>
      <c r="B1" s="632"/>
      <c r="C1" s="632"/>
      <c r="D1" s="632"/>
      <c r="E1" s="632"/>
      <c r="F1" s="632"/>
      <c r="G1" s="632"/>
      <c r="H1" s="632"/>
      <c r="I1" s="633"/>
      <c r="J1" s="633"/>
      <c r="K1" s="633"/>
      <c r="L1" s="632"/>
      <c r="M1" s="632"/>
      <c r="N1" s="632"/>
      <c r="O1" s="213"/>
      <c r="P1" s="213"/>
      <c r="Q1" s="213"/>
      <c r="R1" s="213"/>
      <c r="S1" s="213"/>
      <c r="T1" s="214"/>
      <c r="V1" s="216"/>
    </row>
    <row r="2" spans="1:22" ht="24.75" customHeight="1" x14ac:dyDescent="0.2">
      <c r="A2" s="634" t="s">
        <v>384</v>
      </c>
      <c r="B2" s="635"/>
      <c r="C2" s="635"/>
      <c r="D2" s="636"/>
      <c r="E2" s="627">
        <f>'Chart Review Info'!D3</f>
        <v>0</v>
      </c>
      <c r="F2" s="627"/>
      <c r="G2" s="627"/>
      <c r="H2" s="627"/>
      <c r="I2" s="637" t="s">
        <v>383</v>
      </c>
      <c r="J2" s="638"/>
      <c r="K2" s="639"/>
      <c r="L2" s="640">
        <f>'Chart Review Info'!G3</f>
        <v>0</v>
      </c>
      <c r="M2" s="641"/>
      <c r="N2" s="642"/>
    </row>
    <row r="3" spans="1:22" ht="24.75" customHeight="1" x14ac:dyDescent="0.2">
      <c r="A3" s="238" t="s">
        <v>385</v>
      </c>
      <c r="B3" s="239"/>
      <c r="C3" s="239"/>
      <c r="D3" s="239"/>
      <c r="E3" s="627">
        <f>'Chart Review Info'!D5</f>
        <v>0</v>
      </c>
      <c r="F3" s="627"/>
      <c r="G3" s="627"/>
      <c r="H3" s="627"/>
      <c r="I3" s="643"/>
      <c r="J3" s="644"/>
      <c r="K3" s="644"/>
      <c r="L3" s="644"/>
      <c r="M3" s="644"/>
      <c r="N3" s="645"/>
    </row>
    <row r="4" spans="1:22" ht="24.75" customHeight="1" x14ac:dyDescent="0.2">
      <c r="A4" s="647" t="s">
        <v>386</v>
      </c>
      <c r="B4" s="648"/>
      <c r="C4" s="648"/>
      <c r="D4" s="649"/>
      <c r="E4" s="627">
        <f>'Chart Review Info'!D4</f>
        <v>0</v>
      </c>
      <c r="F4" s="627"/>
      <c r="G4" s="627"/>
      <c r="H4" s="627"/>
      <c r="I4" s="646"/>
      <c r="J4" s="644"/>
      <c r="K4" s="644"/>
      <c r="L4" s="644"/>
      <c r="M4" s="644"/>
      <c r="N4" s="645"/>
    </row>
    <row r="5" spans="1:22" ht="24.75" customHeight="1" thickBot="1" x14ac:dyDescent="0.25">
      <c r="A5" s="625" t="s">
        <v>387</v>
      </c>
      <c r="B5" s="626"/>
      <c r="C5" s="626"/>
      <c r="D5" s="626"/>
      <c r="E5" s="627">
        <f>'Chart Review Info'!F14</f>
        <v>0</v>
      </c>
      <c r="F5" s="627"/>
      <c r="G5" s="627"/>
      <c r="H5" s="627"/>
      <c r="I5" s="646"/>
      <c r="J5" s="644"/>
      <c r="K5" s="644"/>
      <c r="L5" s="644"/>
      <c r="M5" s="644"/>
      <c r="N5" s="645"/>
    </row>
    <row r="6" spans="1:22" ht="10.35" customHeight="1" x14ac:dyDescent="0.2">
      <c r="A6" s="628"/>
      <c r="B6" s="628"/>
      <c r="C6" s="628"/>
      <c r="D6" s="628"/>
      <c r="E6" s="629"/>
      <c r="F6" s="630"/>
      <c r="G6" s="630"/>
      <c r="H6" s="630"/>
      <c r="I6" s="630"/>
      <c r="J6" s="630"/>
      <c r="K6" s="630"/>
      <c r="L6" s="630"/>
      <c r="M6" s="630"/>
      <c r="N6" s="630"/>
    </row>
    <row r="7" spans="1:22" ht="24.75" customHeight="1" x14ac:dyDescent="0.2">
      <c r="A7" s="219" t="s">
        <v>388</v>
      </c>
      <c r="B7" s="220"/>
      <c r="C7" s="221"/>
      <c r="D7" s="222" t="str">
        <f>M21</f>
        <v/>
      </c>
      <c r="E7" s="630"/>
      <c r="F7" s="630"/>
      <c r="G7" s="630"/>
      <c r="H7" s="630"/>
      <c r="I7" s="630"/>
      <c r="J7" s="630"/>
      <c r="K7" s="630"/>
      <c r="L7" s="630"/>
      <c r="M7" s="630"/>
      <c r="N7" s="630"/>
    </row>
    <row r="8" spans="1:22" ht="24.75" customHeight="1" x14ac:dyDescent="0.2">
      <c r="A8" s="219" t="s">
        <v>389</v>
      </c>
      <c r="B8" s="220"/>
      <c r="C8" s="223"/>
      <c r="D8" s="224" t="str">
        <f>IF(M21&lt;100%,"yes","no")</f>
        <v>no</v>
      </c>
      <c r="E8" s="630"/>
      <c r="F8" s="630"/>
      <c r="G8" s="630"/>
      <c r="H8" s="630"/>
      <c r="I8" s="630"/>
      <c r="J8" s="630"/>
      <c r="K8" s="630"/>
      <c r="L8" s="630"/>
      <c r="M8" s="630"/>
      <c r="N8" s="630"/>
      <c r="T8" s="225"/>
    </row>
    <row r="9" spans="1:22" ht="10.35" customHeight="1" x14ac:dyDescent="0.2">
      <c r="A9" s="611"/>
      <c r="B9" s="612"/>
      <c r="C9" s="612"/>
      <c r="D9" s="612"/>
      <c r="E9" s="612"/>
      <c r="F9" s="612"/>
      <c r="G9" s="612"/>
      <c r="H9" s="612"/>
      <c r="I9" s="612"/>
      <c r="J9" s="612"/>
      <c r="K9" s="612"/>
      <c r="L9" s="612"/>
      <c r="M9" s="612"/>
      <c r="N9" s="612"/>
    </row>
    <row r="10" spans="1:22" ht="43.5" customHeight="1" x14ac:dyDescent="0.2">
      <c r="A10" s="613" t="s">
        <v>390</v>
      </c>
      <c r="B10" s="614"/>
      <c r="C10" s="614"/>
      <c r="D10" s="614"/>
      <c r="E10" s="614"/>
      <c r="F10" s="614"/>
      <c r="G10" s="614"/>
      <c r="H10" s="614"/>
      <c r="I10" s="614"/>
      <c r="J10" s="614"/>
      <c r="K10" s="615"/>
      <c r="L10" s="226" t="s">
        <v>47</v>
      </c>
      <c r="M10" s="226" t="s">
        <v>255</v>
      </c>
      <c r="N10" s="226" t="s">
        <v>102</v>
      </c>
      <c r="O10" s="227"/>
      <c r="P10" s="228" t="str">
        <f t="array" ref="P10">IF(AND(L11="x",M11=0,N11=0),"y",IF(AND(L11=0,M11="x",N11=0),"n",IF(AND(L11=0,M11=0,N11="x"),"na",IF(AND(L11=0,M11=0,N11=0),""))))</f>
        <v/>
      </c>
    </row>
    <row r="11" spans="1:22" ht="30" customHeight="1" x14ac:dyDescent="0.2">
      <c r="A11" s="224">
        <v>1</v>
      </c>
      <c r="B11" s="616" t="s">
        <v>391</v>
      </c>
      <c r="C11" s="616"/>
      <c r="D11" s="616"/>
      <c r="E11" s="616"/>
      <c r="F11" s="616"/>
      <c r="G11" s="616"/>
      <c r="H11" s="616"/>
      <c r="I11" s="616"/>
      <c r="J11" s="616"/>
      <c r="K11" s="617"/>
      <c r="L11" s="230"/>
      <c r="M11" s="230"/>
      <c r="N11" s="230"/>
      <c r="O11" s="231">
        <f t="shared" ref="O11:O16" si="0">COUNTIF(L12:N12,"x")</f>
        <v>0</v>
      </c>
      <c r="P11" s="232" t="str">
        <f t="array" ref="P11">IF(AND(L12="x",M12=0,N12=0),"y",IF(AND(L12=0,M12="x",N12=0),"n",IF(AND(L12=0,M12=0,N12="x"),"na",IF(AND(L12=0,M12=0,N12=0),""))))</f>
        <v/>
      </c>
    </row>
    <row r="12" spans="1:22" ht="22.35" customHeight="1" x14ac:dyDescent="0.2">
      <c r="A12" s="224">
        <v>2</v>
      </c>
      <c r="B12" s="616" t="s">
        <v>392</v>
      </c>
      <c r="C12" s="616"/>
      <c r="D12" s="616"/>
      <c r="E12" s="616"/>
      <c r="F12" s="616"/>
      <c r="G12" s="616"/>
      <c r="H12" s="616"/>
      <c r="I12" s="616"/>
      <c r="J12" s="616"/>
      <c r="K12" s="617"/>
      <c r="L12" s="230"/>
      <c r="M12" s="230"/>
      <c r="N12" s="230"/>
      <c r="O12" s="231">
        <f t="shared" si="0"/>
        <v>0</v>
      </c>
      <c r="P12" s="232" t="str">
        <f t="array" ref="P12">IF(AND(L13="x",M13=0,N13=0),"y",IF(AND(L13=0,M13="x",N13=0),"n",IF(AND(L13=0,M13=0,N13="x"),"na",IF(AND(L13=0,M13=0,N13=0),""))))</f>
        <v/>
      </c>
    </row>
    <row r="13" spans="1:22" ht="47.1" customHeight="1" x14ac:dyDescent="0.2">
      <c r="A13" s="224">
        <v>3</v>
      </c>
      <c r="B13" s="618" t="s">
        <v>393</v>
      </c>
      <c r="C13" s="619"/>
      <c r="D13" s="619"/>
      <c r="E13" s="619"/>
      <c r="F13" s="619"/>
      <c r="G13" s="619"/>
      <c r="H13" s="619"/>
      <c r="I13" s="619"/>
      <c r="J13" s="619"/>
      <c r="K13" s="620"/>
      <c r="L13" s="230"/>
      <c r="M13" s="230"/>
      <c r="N13" s="230"/>
      <c r="O13" s="231">
        <f t="shared" si="0"/>
        <v>0</v>
      </c>
      <c r="P13" s="232" t="str">
        <f t="array" ref="P13">IF(AND(L14="x",M14=0,N14=0),"y",IF(AND(L14=0,M14="x",N14=0),"n",IF(AND(L14=0,M14=0,N14="x"),"na",IF(AND(L14=0,M14=0,N14=0),""))))</f>
        <v/>
      </c>
    </row>
    <row r="14" spans="1:22" ht="33.75" customHeight="1" x14ac:dyDescent="0.2">
      <c r="A14" s="224">
        <v>4</v>
      </c>
      <c r="B14" s="616" t="s">
        <v>394</v>
      </c>
      <c r="C14" s="616"/>
      <c r="D14" s="616"/>
      <c r="E14" s="616"/>
      <c r="F14" s="616"/>
      <c r="G14" s="616"/>
      <c r="H14" s="616"/>
      <c r="I14" s="616"/>
      <c r="J14" s="616"/>
      <c r="K14" s="617"/>
      <c r="L14" s="230"/>
      <c r="M14" s="230"/>
      <c r="N14" s="230"/>
      <c r="O14" s="231">
        <f t="shared" si="0"/>
        <v>0</v>
      </c>
      <c r="P14" s="232" t="str">
        <f t="array" ref="P14">IF(AND(L15="x",M15=0,N15=0),"y",IF(AND(L15=0,M15="x",N15=0),"n",IF(AND(L15=0,M15=0,N15="x"),"na",IF(AND(L15=0,M15=0,N15=0),""))))</f>
        <v/>
      </c>
    </row>
    <row r="15" spans="1:22" ht="22.35" customHeight="1" x14ac:dyDescent="0.2">
      <c r="A15" s="224">
        <v>5</v>
      </c>
      <c r="B15" s="616" t="s">
        <v>395</v>
      </c>
      <c r="C15" s="616"/>
      <c r="D15" s="616"/>
      <c r="E15" s="616"/>
      <c r="F15" s="616"/>
      <c r="G15" s="616"/>
      <c r="H15" s="616"/>
      <c r="I15" s="616"/>
      <c r="J15" s="616"/>
      <c r="K15" s="617"/>
      <c r="L15" s="230"/>
      <c r="M15" s="230"/>
      <c r="N15" s="230"/>
      <c r="O15" s="231">
        <f t="shared" si="0"/>
        <v>0</v>
      </c>
      <c r="P15" s="232" t="str">
        <f t="array" ref="P15">IF(AND(L16="x",M16=0,N16=0),"y",IF(AND(L16=0,M16="x",N16=0),"n",IF(AND(L16=0,M16=0,N16="x"),"na",IF(AND(L16=0,M16=0,N16=0),""))))</f>
        <v/>
      </c>
    </row>
    <row r="16" spans="1:22" ht="47.1" customHeight="1" x14ac:dyDescent="0.2">
      <c r="A16" s="224">
        <v>6</v>
      </c>
      <c r="B16" s="616" t="s">
        <v>396</v>
      </c>
      <c r="C16" s="616"/>
      <c r="D16" s="616"/>
      <c r="E16" s="616"/>
      <c r="F16" s="616"/>
      <c r="G16" s="616"/>
      <c r="H16" s="616"/>
      <c r="I16" s="616"/>
      <c r="J16" s="616"/>
      <c r="K16" s="617"/>
      <c r="L16" s="230"/>
      <c r="M16" s="230"/>
      <c r="N16" s="230"/>
      <c r="O16" s="231">
        <f t="shared" si="0"/>
        <v>0</v>
      </c>
      <c r="P16" s="232" t="str">
        <f t="array" ref="P16">IF(AND(L17="x",M17=0,N17=0),"y",IF(AND(L17=0,M17="x",N17=0),"n",IF(AND(L17=0,M17=0,N17="x"),"na",IF(AND(L17=0,M17=0,N17=0),""))))</f>
        <v/>
      </c>
    </row>
    <row r="17" spans="1:16" ht="61.35" customHeight="1" x14ac:dyDescent="0.2">
      <c r="A17" s="224">
        <v>7</v>
      </c>
      <c r="B17" s="616" t="s">
        <v>397</v>
      </c>
      <c r="C17" s="616"/>
      <c r="D17" s="616"/>
      <c r="E17" s="616"/>
      <c r="F17" s="616"/>
      <c r="G17" s="616"/>
      <c r="H17" s="616"/>
      <c r="I17" s="616"/>
      <c r="J17" s="616"/>
      <c r="K17" s="617"/>
      <c r="L17" s="230"/>
      <c r="M17" s="230"/>
      <c r="N17" s="230"/>
      <c r="O17" s="231" t="e">
        <f>COUNTIF(#REF!,"x")</f>
        <v>#REF!</v>
      </c>
      <c r="P17" s="232" t="e">
        <f t="array" ref="P17">IF(AND(#REF!="x",#REF!=0,#REF!=0),"y",IF(AND(#REF!=0,#REF!="x",#REF!=0),"n",IF(AND(#REF!=0,#REF!=0,#REF!="x"),"na",IF(AND(#REF!=0,#REF!=0,#REF!=0),""))))</f>
        <v>#REF!</v>
      </c>
    </row>
    <row r="18" spans="1:16" ht="18.75" hidden="1" customHeight="1" x14ac:dyDescent="0.2">
      <c r="A18" s="229"/>
      <c r="B18" s="229"/>
      <c r="C18" s="229"/>
      <c r="D18" s="229"/>
      <c r="E18" s="229"/>
      <c r="F18" s="229"/>
      <c r="G18" s="229"/>
      <c r="H18" s="229"/>
      <c r="I18" s="229"/>
      <c r="J18" s="229">
        <f>N18</f>
        <v>0</v>
      </c>
      <c r="K18" s="229">
        <f>SUM(L18:M18)</f>
        <v>0</v>
      </c>
      <c r="L18" s="217">
        <f>COUNTIF(L6:L17,"x")</f>
        <v>0</v>
      </c>
      <c r="M18" s="217">
        <f>COUNTIF(M6:M17,"x")</f>
        <v>0</v>
      </c>
      <c r="N18" s="217">
        <f>COUNTIF(N6:N17,"x")</f>
        <v>0</v>
      </c>
    </row>
    <row r="19" spans="1:16" ht="23.25" hidden="1" customHeight="1" x14ac:dyDescent="0.2">
      <c r="A19" s="229"/>
      <c r="B19" s="229"/>
      <c r="C19" s="229"/>
      <c r="D19" s="229"/>
      <c r="E19" s="229"/>
      <c r="F19" s="229"/>
      <c r="G19" s="229"/>
      <c r="H19" s="229"/>
      <c r="I19" s="229"/>
      <c r="J19" s="229"/>
      <c r="K19" s="229"/>
      <c r="L19" s="233" t="str">
        <f>IF(AND(I18&gt;1,J18=0),"NA",IF(J18=0,"",K18/J18))</f>
        <v/>
      </c>
      <c r="M19" s="233" t="str">
        <f>IF(AND(J18&gt;1,K18=0),"NA",IF(K18=0,"",L18/K18))</f>
        <v/>
      </c>
      <c r="N19" s="217"/>
      <c r="O19" s="234">
        <f>SUM(L18:N18)</f>
        <v>0</v>
      </c>
    </row>
    <row r="20" spans="1:16" ht="20.100000000000001" hidden="1" customHeight="1" x14ac:dyDescent="0.2">
      <c r="A20" s="235"/>
      <c r="B20" s="621" t="s">
        <v>398</v>
      </c>
      <c r="C20" s="621"/>
      <c r="D20" s="621"/>
      <c r="E20" s="621"/>
      <c r="F20" s="621"/>
      <c r="G20" s="621"/>
      <c r="H20" s="621"/>
      <c r="I20" s="621"/>
      <c r="J20" s="621"/>
      <c r="K20" s="621"/>
      <c r="L20" s="236">
        <f>L18</f>
        <v>0</v>
      </c>
      <c r="M20" s="236">
        <f>M18</f>
        <v>0</v>
      </c>
      <c r="N20" s="236">
        <f>N18</f>
        <v>0</v>
      </c>
      <c r="O20" s="234"/>
    </row>
    <row r="21" spans="1:16" ht="32.450000000000003" hidden="1" customHeight="1" x14ac:dyDescent="0.2">
      <c r="A21" s="622" t="s">
        <v>399</v>
      </c>
      <c r="B21" s="623"/>
      <c r="C21" s="623"/>
      <c r="D21" s="623"/>
      <c r="E21" s="623"/>
      <c r="F21" s="623"/>
      <c r="G21" s="623"/>
      <c r="H21" s="623"/>
      <c r="I21" s="623"/>
      <c r="J21" s="623"/>
      <c r="K21" s="624"/>
      <c r="L21" s="237"/>
      <c r="M21" s="222" t="str">
        <f>M19</f>
        <v/>
      </c>
      <c r="N21" s="229"/>
      <c r="O21" s="234"/>
    </row>
    <row r="22" spans="1:16" ht="58.35" customHeight="1" x14ac:dyDescent="0.2">
      <c r="A22" s="229"/>
      <c r="B22" s="610" t="s">
        <v>400</v>
      </c>
      <c r="C22" s="610"/>
      <c r="D22" s="610"/>
      <c r="E22" s="610"/>
      <c r="F22" s="610"/>
      <c r="G22" s="610"/>
      <c r="H22" s="610"/>
      <c r="I22" s="610"/>
      <c r="J22" s="610"/>
      <c r="K22" s="610"/>
      <c r="L22" s="610"/>
      <c r="M22" s="610"/>
      <c r="N22" s="610"/>
    </row>
    <row r="23" spans="1:16" ht="58.35" customHeight="1" x14ac:dyDescent="0.2"/>
    <row r="24" spans="1:16" ht="58.35" customHeight="1" x14ac:dyDescent="0.2"/>
    <row r="25" spans="1:16" ht="58.35" customHeight="1" x14ac:dyDescent="0.2"/>
  </sheetData>
  <sheetProtection algorithmName="SHA-512" hashValue="N5TnS+vZGN60M2DvSzuptXfQbKRrg2xT6Cm5/c26TuAsiCQ7+CJ8KlMy/KkDIQmOkIVaThIbLa5Fz13KFBao1A==" saltValue="ADvN8C1PIVXfsXRFI9H6tw==" spinCount="100000" sheet="1" objects="1" scenarios="1"/>
  <mergeCells count="25">
    <mergeCell ref="A5:D5"/>
    <mergeCell ref="E5:H5"/>
    <mergeCell ref="A6:D6"/>
    <mergeCell ref="E6:N8"/>
    <mergeCell ref="A1:N1"/>
    <mergeCell ref="A2:D2"/>
    <mergeCell ref="E2:H2"/>
    <mergeCell ref="I2:K2"/>
    <mergeCell ref="L2:N2"/>
    <mergeCell ref="E3:H3"/>
    <mergeCell ref="I3:N5"/>
    <mergeCell ref="A4:D4"/>
    <mergeCell ref="E4:H4"/>
    <mergeCell ref="B22:N22"/>
    <mergeCell ref="A9:N9"/>
    <mergeCell ref="A10:K10"/>
    <mergeCell ref="B11:K11"/>
    <mergeCell ref="B12:K12"/>
    <mergeCell ref="B13:K13"/>
    <mergeCell ref="B14:K14"/>
    <mergeCell ref="B15:K15"/>
    <mergeCell ref="B16:K16"/>
    <mergeCell ref="B17:K17"/>
    <mergeCell ref="B20:K20"/>
    <mergeCell ref="A21:K21"/>
  </mergeCells>
  <pageMargins left="0.24" right="0.25" top="0.95" bottom="0.63" header="0.38" footer="0.25"/>
  <pageSetup fitToHeight="0" orientation="portrait" r:id="rId1"/>
  <headerFooter alignWithMargins="0">
    <oddHeader>&amp;C&amp;"Elephant,Italic"&amp;14Confidential QI Report&amp;"Arial,Bold"&amp;10
San Diego County Mental Health Plan
&amp;"Arial,Regular"Behavioral Health Services
Fiscal Year 22-23</oddHeader>
    <oddFooter>&amp;L&amp;"Times New Roman,Regular"&amp;8FY 22-23 Medical Record Review Report - Excel - Rev. 7-1-22&amp;R&amp;P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01A03-AAE7-4E1A-AEC6-EDA3FA20E90E}">
  <sheetPr codeName="Sheet2">
    <tabColor rgb="FFFFC000"/>
  </sheetPr>
  <dimension ref="A1:Y199"/>
  <sheetViews>
    <sheetView view="pageBreakPreview" topLeftCell="B1" zoomScaleNormal="100" zoomScaleSheetLayoutView="100" workbookViewId="0">
      <selection activeCell="AD11" sqref="AD11"/>
    </sheetView>
  </sheetViews>
  <sheetFormatPr defaultRowHeight="12.75" x14ac:dyDescent="0.2"/>
  <cols>
    <col min="1" max="1" width="4" style="53" hidden="1" customWidth="1"/>
    <col min="2" max="2" width="4.5703125" style="49" customWidth="1"/>
    <col min="3" max="3" width="9.140625" customWidth="1"/>
    <col min="4" max="4" width="11.42578125" style="12" customWidth="1"/>
    <col min="5" max="5" width="10.5703125" customWidth="1"/>
    <col min="6" max="6" width="11.42578125" customWidth="1"/>
    <col min="7" max="7" width="12.5703125" customWidth="1"/>
    <col min="8" max="8" width="4.5703125" customWidth="1"/>
    <col min="9" max="9" width="20.140625" customWidth="1"/>
    <col min="10" max="10" width="12.28515625" customWidth="1"/>
    <col min="11" max="11" width="12" customWidth="1"/>
    <col min="14" max="14" width="7.85546875" customWidth="1"/>
    <col min="15" max="15" width="12.28515625" hidden="1" customWidth="1"/>
    <col min="16" max="16" width="9.42578125" hidden="1" customWidth="1"/>
    <col min="17" max="17" width="6.42578125" hidden="1" customWidth="1"/>
    <col min="18" max="25" width="9.140625" hidden="1" customWidth="1"/>
  </cols>
  <sheetData>
    <row r="1" spans="1:25" ht="15.75" x14ac:dyDescent="0.25">
      <c r="C1" s="433" t="s">
        <v>36</v>
      </c>
      <c r="D1" s="428"/>
      <c r="E1" s="428"/>
      <c r="F1" s="428"/>
      <c r="G1" s="428"/>
      <c r="H1" s="428"/>
      <c r="I1" s="428"/>
      <c r="J1" s="428"/>
      <c r="K1" s="428"/>
      <c r="L1" s="434"/>
      <c r="M1" s="434"/>
    </row>
    <row r="3" spans="1:25" ht="15" x14ac:dyDescent="0.2">
      <c r="C3" s="501" t="s">
        <v>338</v>
      </c>
      <c r="D3" s="501"/>
      <c r="E3" s="501"/>
      <c r="F3" s="502">
        <f>'Chart Review Info'!D3</f>
        <v>0</v>
      </c>
      <c r="G3" s="502"/>
      <c r="I3" s="483" t="s">
        <v>37</v>
      </c>
      <c r="J3" s="484"/>
      <c r="K3" s="182">
        <f>'Chart Review Info'!G3</f>
        <v>0</v>
      </c>
      <c r="M3" s="157"/>
    </row>
    <row r="4" spans="1:25" ht="15" x14ac:dyDescent="0.2">
      <c r="C4" s="501" t="s">
        <v>38</v>
      </c>
      <c r="D4" s="501"/>
      <c r="E4" s="501"/>
      <c r="F4" s="502">
        <f>'Chart Review Info'!D4</f>
        <v>0</v>
      </c>
      <c r="G4" s="502"/>
      <c r="I4" s="483" t="s">
        <v>39</v>
      </c>
      <c r="J4" s="484"/>
      <c r="K4" s="182">
        <f>'Chart Review Info'!G4</f>
        <v>0</v>
      </c>
    </row>
    <row r="5" spans="1:25" ht="15" x14ac:dyDescent="0.2">
      <c r="C5" s="462" t="s">
        <v>40</v>
      </c>
      <c r="D5" s="462"/>
      <c r="E5" s="462"/>
      <c r="F5" s="503">
        <f>'Chart Review Info'!D8</f>
        <v>0</v>
      </c>
      <c r="G5" s="502"/>
      <c r="I5" s="483" t="s">
        <v>41</v>
      </c>
      <c r="J5" s="484"/>
      <c r="K5" s="182">
        <f>'Chart Review Info'!G5</f>
        <v>0</v>
      </c>
    </row>
    <row r="6" spans="1:25" ht="15" x14ac:dyDescent="0.2">
      <c r="C6" s="4"/>
      <c r="D6" s="4"/>
      <c r="E6" s="1"/>
    </row>
    <row r="7" spans="1:25" ht="15" x14ac:dyDescent="0.2">
      <c r="C7" s="462" t="s">
        <v>42</v>
      </c>
      <c r="D7" s="462"/>
      <c r="E7" s="462"/>
      <c r="F7" s="502">
        <f>COUNTIF(Data!N92:N690,"Yes")</f>
        <v>0</v>
      </c>
      <c r="G7" s="502"/>
      <c r="I7" s="483" t="s">
        <v>43</v>
      </c>
      <c r="J7" s="484"/>
      <c r="K7" s="54">
        <f>COUNTIF(Data!AJ34:AJ53,"yes")</f>
        <v>0</v>
      </c>
      <c r="M7" s="305"/>
      <c r="O7" s="354"/>
    </row>
    <row r="8" spans="1:25" ht="15" x14ac:dyDescent="0.2">
      <c r="C8" s="501" t="s">
        <v>44</v>
      </c>
      <c r="D8" s="501"/>
      <c r="E8" s="501"/>
      <c r="F8" s="504" t="str">
        <f>IFERROR(F7/F5,"")</f>
        <v/>
      </c>
      <c r="G8" s="504"/>
      <c r="I8" s="483" t="s">
        <v>556</v>
      </c>
      <c r="J8" s="484"/>
      <c r="K8" s="56" t="e">
        <f>K7/COUNTIF(RECORDS[Med Rec '# ],"&lt;&gt;N/A")</f>
        <v>#DIV/0!</v>
      </c>
    </row>
    <row r="9" spans="1:25" ht="15" x14ac:dyDescent="0.2">
      <c r="C9" s="462" t="s">
        <v>46</v>
      </c>
      <c r="D9" s="462"/>
      <c r="E9" s="462"/>
      <c r="F9" s="496">
        <f ca="1">SUMIF(Data!N92:N690,"Yes",Data!H92:H390)</f>
        <v>0</v>
      </c>
      <c r="G9" s="496"/>
      <c r="O9" s="478" t="s">
        <v>351</v>
      </c>
      <c r="P9" s="479"/>
      <c r="Q9" s="192">
        <f>'Client 1'!G38+'Client 2'!G38+'Client 3'!G38+'Client 4'!G38+'Client 5'!G38+'Client 6'!G38+'Client 7'!G38+'Client 8'!G38+'Client 9'!G38+'Client 10'!G38+'Client 11'!G38+'Client 12'!G38+'Client 13'!G38+'Client 14'!G38+'Client 15'!G38+'Client 16'!G38+'Client 17'!G38+'Client 18'!G38+'Client 19'!G38+'Client 20'!G38</f>
        <v>0</v>
      </c>
      <c r="R9" s="193"/>
      <c r="S9" s="480" t="s">
        <v>352</v>
      </c>
      <c r="T9" s="481"/>
      <c r="U9" s="192">
        <f>'Client 1'!J38+'Client 2'!J38+'Client 3'!J38+'Client 4'!J38+'Client 5'!J38+'Client 6'!J38+'Client 7'!J38+'Client 8'!J38+'Client 9'!J38+'Client 10'!J38+'Client 11'!J38+'Client 12'!J38+'Client 13'!J38+'Client 14'!J38+'Client 15'!J38+'Client 16'!J38+'Client 17'!J38+'Client 18'!J38+'Client 19'!J38+'Client 20'!J38</f>
        <v>0</v>
      </c>
      <c r="V9" s="193"/>
      <c r="W9" s="482" t="s">
        <v>353</v>
      </c>
      <c r="X9" s="479"/>
      <c r="Y9" s="194" t="e">
        <f>U9/Q9</f>
        <v>#DIV/0!</v>
      </c>
    </row>
    <row r="10" spans="1:25" ht="29.25" customHeight="1" x14ac:dyDescent="0.2">
      <c r="A10"/>
      <c r="B10"/>
      <c r="C10" s="494" t="s">
        <v>513</v>
      </c>
      <c r="D10" s="495"/>
      <c r="E10" s="495"/>
      <c r="F10" s="444" t="e">
        <f ca="1">F9/'Chart Review Info'!D9</f>
        <v>#DIV/0!</v>
      </c>
      <c r="G10" s="444"/>
    </row>
    <row r="11" spans="1:25" ht="15" x14ac:dyDescent="0.2">
      <c r="I11" s="1" t="s">
        <v>372</v>
      </c>
      <c r="K11" s="206" t="e">
        <f>Data!F60</f>
        <v>#DIV/0!</v>
      </c>
    </row>
    <row r="12" spans="1:25" ht="15" x14ac:dyDescent="0.2">
      <c r="C12" s="485" t="s">
        <v>354</v>
      </c>
      <c r="D12" s="486"/>
      <c r="E12" s="487"/>
      <c r="F12" s="444" t="e">
        <f>Y9</f>
        <v>#DIV/0!</v>
      </c>
      <c r="G12" s="463"/>
      <c r="I12" s="464" t="s">
        <v>451</v>
      </c>
      <c r="J12" s="464"/>
      <c r="K12" s="205" t="e">
        <f>IF(K11&lt;90%,"yes","no")</f>
        <v>#DIV/0!</v>
      </c>
    </row>
    <row r="13" spans="1:25" ht="15" x14ac:dyDescent="0.2">
      <c r="C13" s="363" t="s">
        <v>562</v>
      </c>
      <c r="D13" s="364"/>
      <c r="E13" s="2"/>
      <c r="F13" s="444" t="e">
        <f>'Provider Compliance'!W7</f>
        <v>#DIV/0!</v>
      </c>
      <c r="G13" s="438"/>
      <c r="I13" s="464" t="s">
        <v>450</v>
      </c>
      <c r="J13" s="465"/>
      <c r="K13" s="81" t="str">
        <f>IF(F8&lt;5%,"yes","no")</f>
        <v>no</v>
      </c>
    </row>
    <row r="14" spans="1:25" ht="15" x14ac:dyDescent="0.2">
      <c r="C14" s="33"/>
      <c r="D14" s="33"/>
    </row>
    <row r="15" spans="1:25" ht="250.5" customHeight="1" x14ac:dyDescent="0.2">
      <c r="C15" s="497" t="s">
        <v>443</v>
      </c>
      <c r="D15" s="434"/>
      <c r="E15" s="434"/>
      <c r="F15" s="434"/>
      <c r="G15" s="434"/>
      <c r="H15" s="434"/>
      <c r="I15" s="434"/>
      <c r="J15" s="434"/>
      <c r="K15" s="434"/>
      <c r="L15" s="434"/>
      <c r="M15" s="434"/>
    </row>
    <row r="16" spans="1:25" ht="26.25" customHeight="1" x14ac:dyDescent="0.2">
      <c r="C16" s="488" t="s">
        <v>448</v>
      </c>
      <c r="D16" s="489"/>
      <c r="E16" s="489"/>
      <c r="F16" s="489"/>
      <c r="G16" s="489"/>
      <c r="H16" s="489"/>
      <c r="I16" s="489"/>
      <c r="J16" s="489"/>
      <c r="K16" s="489"/>
      <c r="L16" s="137"/>
      <c r="M16" s="138"/>
    </row>
    <row r="17" spans="1:17" ht="248.25" customHeight="1" x14ac:dyDescent="0.2">
      <c r="C17" s="498" t="s">
        <v>444</v>
      </c>
      <c r="D17" s="499"/>
      <c r="E17" s="499"/>
      <c r="F17" s="499"/>
      <c r="G17" s="499"/>
      <c r="H17" s="499"/>
      <c r="I17" s="499"/>
      <c r="J17" s="499"/>
      <c r="K17" s="499"/>
      <c r="L17" s="477"/>
      <c r="M17" s="477"/>
    </row>
    <row r="18" spans="1:17" ht="21" customHeight="1" x14ac:dyDescent="0.2">
      <c r="C18" s="492" t="s">
        <v>447</v>
      </c>
      <c r="D18" s="493"/>
      <c r="E18" s="493"/>
      <c r="F18" s="493"/>
      <c r="G18" s="493"/>
      <c r="H18" s="493"/>
      <c r="I18" s="493"/>
      <c r="J18" s="493"/>
      <c r="K18" s="493"/>
      <c r="L18" s="137"/>
      <c r="M18" s="138"/>
    </row>
    <row r="19" spans="1:17" ht="174" customHeight="1" x14ac:dyDescent="0.2">
      <c r="C19" s="498" t="s">
        <v>446</v>
      </c>
      <c r="D19" s="499"/>
      <c r="E19" s="499"/>
      <c r="F19" s="499"/>
      <c r="G19" s="499"/>
      <c r="H19" s="499"/>
      <c r="I19" s="499"/>
      <c r="J19" s="499"/>
      <c r="K19" s="499"/>
      <c r="L19" s="477"/>
      <c r="M19" s="477"/>
    </row>
    <row r="20" spans="1:17" ht="22.5" customHeight="1" x14ac:dyDescent="0.2">
      <c r="C20" s="490" t="s">
        <v>445</v>
      </c>
      <c r="D20" s="491"/>
      <c r="E20" s="491"/>
      <c r="F20" s="491"/>
      <c r="G20" s="491"/>
      <c r="H20" s="491"/>
      <c r="I20" s="491"/>
      <c r="J20" s="491"/>
      <c r="K20" s="491"/>
      <c r="L20" s="137"/>
      <c r="M20" s="138"/>
    </row>
    <row r="21" spans="1:17" ht="98.25" customHeight="1" x14ac:dyDescent="0.2">
      <c r="A21" s="53" t="s">
        <v>48</v>
      </c>
      <c r="B21" s="53" t="s">
        <v>49</v>
      </c>
      <c r="C21" s="475"/>
      <c r="D21" s="500"/>
      <c r="E21" s="500"/>
      <c r="F21" s="500"/>
      <c r="G21" s="500"/>
      <c r="H21" s="500"/>
      <c r="I21" s="500"/>
      <c r="J21" s="500"/>
      <c r="K21" s="500"/>
      <c r="L21" s="477"/>
      <c r="M21" s="477"/>
    </row>
    <row r="22" spans="1:17" ht="15.75" x14ac:dyDescent="0.2">
      <c r="C22" s="408" t="s">
        <v>50</v>
      </c>
      <c r="D22" s="409"/>
      <c r="E22" s="137"/>
      <c r="F22" s="137"/>
      <c r="G22" s="137"/>
      <c r="H22" s="137"/>
      <c r="I22" s="137"/>
      <c r="J22" s="137"/>
      <c r="K22" s="137"/>
      <c r="L22" s="137"/>
      <c r="M22" s="138"/>
    </row>
    <row r="23" spans="1:17" ht="120" customHeight="1" x14ac:dyDescent="0.2">
      <c r="A23" s="53" t="s">
        <v>48</v>
      </c>
      <c r="B23" s="53" t="s">
        <v>49</v>
      </c>
      <c r="C23" s="475"/>
      <c r="D23" s="476"/>
      <c r="E23" s="476"/>
      <c r="F23" s="476"/>
      <c r="G23" s="476"/>
      <c r="H23" s="476"/>
      <c r="I23" s="476"/>
      <c r="J23" s="476"/>
      <c r="K23" s="476"/>
      <c r="L23" s="477"/>
      <c r="M23" s="477"/>
    </row>
    <row r="24" spans="1:17" x14ac:dyDescent="0.2">
      <c r="D24"/>
    </row>
    <row r="25" spans="1:17" ht="15.75" x14ac:dyDescent="0.25">
      <c r="C25" s="136" t="s">
        <v>51</v>
      </c>
      <c r="D25" s="137"/>
      <c r="E25" s="137"/>
      <c r="F25" s="137"/>
      <c r="G25" s="138"/>
      <c r="I25" s="136" t="s">
        <v>52</v>
      </c>
      <c r="J25" s="137"/>
      <c r="K25" s="138"/>
    </row>
    <row r="26" spans="1:17" ht="51" x14ac:dyDescent="0.2">
      <c r="C26" s="36" t="s">
        <v>53</v>
      </c>
      <c r="D26" s="58" t="s">
        <v>54</v>
      </c>
      <c r="E26" s="58" t="s">
        <v>55</v>
      </c>
      <c r="F26" s="58" t="s">
        <v>56</v>
      </c>
      <c r="G26" s="59" t="s">
        <v>57</v>
      </c>
      <c r="H26" s="41"/>
      <c r="I26" s="393" t="s">
        <v>58</v>
      </c>
      <c r="J26" s="394" t="s">
        <v>662</v>
      </c>
      <c r="K26" s="395" t="s">
        <v>663</v>
      </c>
      <c r="L26" s="394" t="s">
        <v>664</v>
      </c>
      <c r="M26" s="395" t="s">
        <v>45</v>
      </c>
    </row>
    <row r="27" spans="1:17" x14ac:dyDescent="0.2">
      <c r="A27" s="70">
        <v>1</v>
      </c>
      <c r="B27" s="3"/>
      <c r="C27" s="37" t="str">
        <f t="shared" ref="C27:C45" si="0">"Client_"&amp;A27</f>
        <v>Client_1</v>
      </c>
      <c r="D27" s="46" t="str">
        <f>IF(MRN_1="N/A","",'Chart Review Info'!$E$14)</f>
        <v/>
      </c>
      <c r="E27" s="46" t="str">
        <f>IF(MRN_1="N/A","",COUNTIFS(Data!$M$92:$M$690,$C27,Data!$O$92:$O$690,"Yes"))</f>
        <v/>
      </c>
      <c r="F27" s="46" t="str">
        <f>IF(MRN_1="N/A","",COUNTIFS(Data!$M$92:$M$690,$C27,Data!$N$92:$N$690,"Yes"))</f>
        <v/>
      </c>
      <c r="G27" s="60" t="str">
        <f>IF(MRN_1="N/A","",SUMIFS(Data!$H$92:$H$690,Data!$M$92:$M$690,$C27,Data!$N$92:$N$690,"Yes"))</f>
        <v/>
      </c>
      <c r="I27" s="42" t="s">
        <v>59</v>
      </c>
      <c r="J27" s="46">
        <f ca="1">Data!U119</f>
        <v>0</v>
      </c>
      <c r="K27" s="396">
        <f ca="1">Data!U117</f>
        <v>0</v>
      </c>
      <c r="L27" s="46">
        <f ca="1">Data!U118</f>
        <v>0</v>
      </c>
      <c r="M27" s="397">
        <f ca="1">Data!U120</f>
        <v>0</v>
      </c>
    </row>
    <row r="28" spans="1:17" s="3" customFormat="1" x14ac:dyDescent="0.2">
      <c r="A28" s="70">
        <v>2</v>
      </c>
      <c r="C28" s="37" t="str">
        <f t="shared" si="0"/>
        <v>Client_2</v>
      </c>
      <c r="D28" s="45" t="str">
        <f>IF(MRN_2="N/A","",'Chart Review Info'!$E$15)</f>
        <v/>
      </c>
      <c r="E28" s="45" t="str">
        <f>IF(MRN_2="N/A","",COUNTIFS(Data!$M$92:$M$690,$C28,Data!$O$92:$O$690,"Yes"))</f>
        <v/>
      </c>
      <c r="F28" s="45" t="str">
        <f>IF(MRN_2="N/A","",COUNTIFS(Data!$M$92:$M$690,$C28,Data!$N$92:$N$690,"Yes"))</f>
        <v/>
      </c>
      <c r="G28" s="34" t="str">
        <f>IF(MRN_2="N/A","",SUMIFS(Data!$H$92:$H$690,Data!$M$92:$M$690,$C28,Data!$N$92:$N$690,"Yes"))</f>
        <v/>
      </c>
      <c r="H28"/>
      <c r="I28" s="43" t="s">
        <v>60</v>
      </c>
      <c r="J28" s="45">
        <f ca="1">Data!AG119</f>
        <v>0</v>
      </c>
      <c r="K28" s="398">
        <f ca="1">Data!AG117</f>
        <v>0</v>
      </c>
      <c r="L28" s="45">
        <f ca="1">Data!AG118</f>
        <v>0</v>
      </c>
      <c r="M28" s="399">
        <f ca="1">Data!AG120</f>
        <v>0</v>
      </c>
      <c r="O28"/>
      <c r="P28"/>
      <c r="Q28"/>
    </row>
    <row r="29" spans="1:17" x14ac:dyDescent="0.2">
      <c r="A29" s="70">
        <v>3</v>
      </c>
      <c r="B29" s="3"/>
      <c r="C29" s="37" t="str">
        <f t="shared" si="0"/>
        <v>Client_3</v>
      </c>
      <c r="D29" s="47" t="str">
        <f>IF(MRN_3="N/A","",'Chart Review Info'!$E$16)</f>
        <v/>
      </c>
      <c r="E29" s="47" t="str">
        <f>IF(MRN_3="N/A","",COUNTIFS(Data!$M$92:$M$690,$C29,Data!$O$92:$O$690,"Yes"))</f>
        <v/>
      </c>
      <c r="F29" s="47" t="str">
        <f>IF(MRN_3="N/A","",COUNTIFS(Data!$M$92:$M$690,$C29,Data!$N$92:$N$690,"Yes"))</f>
        <v/>
      </c>
      <c r="G29" s="61" t="str">
        <f>IF(MRN_3="N/A","",SUMIFS(Data!$H$92:$H$690,Data!$M$92:$M$690,$C29,Data!$N$92:$N$690,"Yes"))</f>
        <v/>
      </c>
      <c r="I29" s="400" t="s">
        <v>661</v>
      </c>
      <c r="J29" s="396">
        <f>Data!AL117</f>
        <v>0</v>
      </c>
      <c r="K29" s="396">
        <f>Data!AL117</f>
        <v>0</v>
      </c>
      <c r="L29" s="396">
        <f>Data!AL118</f>
        <v>0</v>
      </c>
      <c r="M29" s="397">
        <f>Data!AL120</f>
        <v>0</v>
      </c>
    </row>
    <row r="30" spans="1:17" x14ac:dyDescent="0.2">
      <c r="A30" s="70">
        <v>4</v>
      </c>
      <c r="B30" s="3"/>
      <c r="C30" s="37" t="str">
        <f t="shared" si="0"/>
        <v>Client_4</v>
      </c>
      <c r="D30" s="45" t="str">
        <f>IF(MRN_4="N/A","",'Chart Review Info'!$E$17)</f>
        <v/>
      </c>
      <c r="E30" s="45" t="str">
        <f>IF(MRN_4="N/A","",COUNTIFS(Data!$M$92:$M$690,$C30,Data!$O$92:$O$690,"Yes"))</f>
        <v/>
      </c>
      <c r="F30" s="45" t="str">
        <f>IF(MRN_4="N/A","",COUNTIFS(Data!$M$92:$M$690,$C30,Data!$N$92:$N$690,"Yes"))</f>
        <v/>
      </c>
      <c r="G30" s="34" t="str">
        <f>IF(MRN_4="N/A","",SUMIFS(Data!$H$92:$H$690,Data!$M$92:$M$690,$C30,Data!$N$92:$N$690,"Yes"))</f>
        <v/>
      </c>
      <c r="I30" s="43" t="s">
        <v>61</v>
      </c>
      <c r="J30" s="45">
        <f ca="1">Data!AQ119</f>
        <v>0</v>
      </c>
      <c r="K30" s="45">
        <f ca="1">Data!AQ117</f>
        <v>0</v>
      </c>
      <c r="L30" s="45">
        <f ca="1">Data!AQ118</f>
        <v>0</v>
      </c>
      <c r="M30" s="399">
        <f ca="1">Data!AQ120</f>
        <v>0</v>
      </c>
    </row>
    <row r="31" spans="1:17" x14ac:dyDescent="0.2">
      <c r="A31" s="70">
        <v>5</v>
      </c>
      <c r="B31" s="3"/>
      <c r="C31" s="37" t="str">
        <f t="shared" si="0"/>
        <v>Client_5</v>
      </c>
      <c r="D31" s="47" t="str">
        <f>IF(MRN_5="N/A","",'Chart Review Info'!$E$18)</f>
        <v/>
      </c>
      <c r="E31" s="47" t="str">
        <f>IF(MRN_5="N/A","",COUNTIFS(Data!$M$92:$M$690,$C31,Data!$O$92:$O$690,"Yes"))</f>
        <v/>
      </c>
      <c r="F31" s="47" t="str">
        <f>IF(MRN_5="N/A","",COUNTIFS(Data!$M$92:$M$690,$C31,Data!$N$92:$N$690,"Yes"))</f>
        <v/>
      </c>
      <c r="G31" s="61" t="str">
        <f>IF(MRN_5="N/A","",SUMIFS(Data!$H$92:$H$690,Data!$M$92:$M$690,$C31,Data!$N$92:$N$690,"Yes"))</f>
        <v/>
      </c>
      <c r="I31" s="400" t="s">
        <v>62</v>
      </c>
      <c r="J31" s="396">
        <f ca="1">Data!BD119</f>
        <v>0</v>
      </c>
      <c r="K31" s="396">
        <f ca="1">Data!BD117</f>
        <v>0</v>
      </c>
      <c r="L31" s="396">
        <f ca="1">Data!BD118</f>
        <v>0</v>
      </c>
      <c r="M31" s="401">
        <f ca="1">Data!BD120</f>
        <v>0</v>
      </c>
    </row>
    <row r="32" spans="1:17" x14ac:dyDescent="0.2">
      <c r="A32" s="70">
        <v>6</v>
      </c>
      <c r="B32" s="3"/>
      <c r="C32" s="37" t="str">
        <f t="shared" si="0"/>
        <v>Client_6</v>
      </c>
      <c r="D32" s="45" t="str">
        <f>IF(MRN_6="N/A","",'Chart Review Info'!$E$19)</f>
        <v/>
      </c>
      <c r="E32" s="45" t="str">
        <f>IF(MRN_6="N/A","",COUNTIFS(Data!$M$92:$M$690,$C32,Data!$O$92:$O$690,"Yes"))</f>
        <v/>
      </c>
      <c r="F32" s="45" t="str">
        <f>IF(MRN_6="N/A","",COUNTIFS(Data!$M$92:$M$690,$C32,Data!$N$92:$N$690,"Yes"))</f>
        <v/>
      </c>
      <c r="G32" s="34" t="str">
        <f>IF(MRN_6="N/A","",SUMIFS(Data!$H$92:$H$690,Data!$M$92:$M$690,$C32,Data!$N$92:$N$690,"Yes"))</f>
        <v/>
      </c>
      <c r="I32" s="43" t="s">
        <v>63</v>
      </c>
      <c r="J32" s="45">
        <f ca="1">Data!BM119</f>
        <v>0</v>
      </c>
      <c r="K32" s="45">
        <f ca="1">Data!BM117</f>
        <v>0</v>
      </c>
      <c r="L32" s="45">
        <f ca="1">Data!BM118</f>
        <v>0</v>
      </c>
      <c r="M32" s="399">
        <f ca="1">Data!BM120</f>
        <v>0</v>
      </c>
    </row>
    <row r="33" spans="1:13" x14ac:dyDescent="0.2">
      <c r="A33" s="70">
        <v>7</v>
      </c>
      <c r="B33" s="3"/>
      <c r="C33" s="37" t="str">
        <f t="shared" si="0"/>
        <v>Client_7</v>
      </c>
      <c r="D33" s="47" t="str">
        <f>IF(MRN_7="N/A","",'Chart Review Info'!$E$20)</f>
        <v/>
      </c>
      <c r="E33" s="47" t="str">
        <f>IF(MRN_7="N/A","",COUNTIFS(Data!$M$92:$M$690,$C33,Data!$O$92:$O$690,"Yes"))</f>
        <v/>
      </c>
      <c r="F33" s="47" t="str">
        <f>IF(MRN_7="N/A","",COUNTIFS(Data!$M$92:$M$690,$C33,Data!$N$92:$N$690,"Yes"))</f>
        <v/>
      </c>
      <c r="G33" s="61" t="str">
        <f>IF(MRN_7="N/A","",SUMIFS(Data!$H$92:$H$690,Data!$M$92:$M$690,$C33,Data!$N$92:$N$690,"Yes"))</f>
        <v/>
      </c>
      <c r="I33" s="400" t="s">
        <v>64</v>
      </c>
      <c r="J33" s="396">
        <f ca="1">Data!BT119</f>
        <v>0</v>
      </c>
      <c r="K33" s="396">
        <f ca="1">Data!BT117</f>
        <v>0</v>
      </c>
      <c r="L33" s="396">
        <f ca="1">Data!BT118</f>
        <v>0</v>
      </c>
      <c r="M33" s="401">
        <f ca="1">Data!BT120</f>
        <v>0</v>
      </c>
    </row>
    <row r="34" spans="1:13" x14ac:dyDescent="0.2">
      <c r="A34" s="70">
        <v>8</v>
      </c>
      <c r="B34" s="3"/>
      <c r="C34" s="37" t="str">
        <f t="shared" si="0"/>
        <v>Client_8</v>
      </c>
      <c r="D34" s="45" t="str">
        <f>IF(MRN_8="N/A","",'Chart Review Info'!$E$21)</f>
        <v/>
      </c>
      <c r="E34" s="45" t="str">
        <f>IF(MRN_8="N/A","",COUNTIFS(Data!$M$92:$M$690,$C34,Data!$O$92:$O$690,"Yes"))</f>
        <v/>
      </c>
      <c r="F34" s="45" t="str">
        <f>IF(MRN_8="N/A","",COUNTIFS(Data!$M$92:$M$690,$C34,Data!$N$92:$N$690,"Yes"))</f>
        <v/>
      </c>
      <c r="G34" s="34" t="str">
        <f>IF(MRN_8="N/A","",SUMIFS(Data!$H$92:$H$690,Data!$M$92:$M$690,$C34,Data!$N$92:$N$690,"Yes"))</f>
        <v/>
      </c>
    </row>
    <row r="35" spans="1:13" x14ac:dyDescent="0.2">
      <c r="A35" s="70">
        <v>9</v>
      </c>
      <c r="B35" s="3"/>
      <c r="C35" s="37" t="str">
        <f t="shared" si="0"/>
        <v>Client_9</v>
      </c>
      <c r="D35" s="47" t="str">
        <f>IF(MRN_9="N/A","",'Chart Review Info'!$E$22)</f>
        <v/>
      </c>
      <c r="E35" s="47" t="str">
        <f>IF(MRN_9="N/A","",COUNTIFS(Data!$M$92:$M$690,$C35,Data!$O$92:$O$690,"Yes"))</f>
        <v/>
      </c>
      <c r="F35" s="47" t="str">
        <f>IF(MRN_9="N/A","",COUNTIFS(Data!$M$92:$M$690,$C35,Data!$N$92:$N$690,"Yes"))</f>
        <v/>
      </c>
      <c r="G35" s="61" t="str">
        <f>IF(MRN_9="N/A","",SUMIFS(Data!$H$92:$H$690,Data!$M$92:$M$690,$C35,Data!$N$92:$N$690,"Yes"))</f>
        <v/>
      </c>
    </row>
    <row r="36" spans="1:13" x14ac:dyDescent="0.2">
      <c r="A36" s="70">
        <v>10</v>
      </c>
      <c r="B36" s="3"/>
      <c r="C36" s="37" t="str">
        <f t="shared" si="0"/>
        <v>Client_10</v>
      </c>
      <c r="D36" s="45" t="str">
        <f>IF(MRN_10="N/A","",'Chart Review Info'!$E$23)</f>
        <v/>
      </c>
      <c r="E36" s="45" t="str">
        <f>IF(MRN_10="N/A","",COUNTIFS(Data!$M$92:$M$690,$C36,Data!$O$92:$O$690,"Yes"))</f>
        <v/>
      </c>
      <c r="F36" s="45" t="str">
        <f>IF(MRN_10="N/A","",COUNTIFS(Data!$M$92:$M$690,$C36,Data!$N$92:$N$690,"Yes"))</f>
        <v/>
      </c>
      <c r="G36" s="34" t="str">
        <f>IF(MRN_10="N/A","",SUMIFS(Data!$H$92:$H$690,Data!$M$92:$M$690,$C36,Data!$N$92:$N$690,"Yes"))</f>
        <v/>
      </c>
      <c r="I36" s="38"/>
    </row>
    <row r="37" spans="1:13" x14ac:dyDescent="0.2">
      <c r="A37" s="70">
        <v>11</v>
      </c>
      <c r="B37" s="3"/>
      <c r="C37" s="37" t="str">
        <f t="shared" si="0"/>
        <v>Client_11</v>
      </c>
      <c r="D37" s="47" t="str">
        <f>IF(MRN_11="N/A","",'Chart Review Info'!$E$24)</f>
        <v/>
      </c>
      <c r="E37" s="47" t="str">
        <f>IF(MRN_11="N/A","",COUNTIFS(Data!$M$92:$M$690,$C37,Data!$O$92:$O$690,"Yes"))</f>
        <v/>
      </c>
      <c r="F37" s="47" t="str">
        <f>IF(MRN_11="N/A","",COUNTIFS(Data!$M$92:$M$690,$C37,Data!$N$92:$N$690,"Yes"))</f>
        <v/>
      </c>
      <c r="G37" s="61" t="str">
        <f>IF(MRN_11="N/A","",SUMIFS(Data!$H$92:$H$690,Data!$M$92:$M$690,$C37,Data!$N$92:$N$690,"Yes"))</f>
        <v/>
      </c>
    </row>
    <row r="38" spans="1:13" x14ac:dyDescent="0.2">
      <c r="A38" s="70">
        <v>12</v>
      </c>
      <c r="B38" s="3"/>
      <c r="C38" s="37" t="str">
        <f t="shared" si="0"/>
        <v>Client_12</v>
      </c>
      <c r="D38" s="45" t="str">
        <f>IF(MRN_12="N/A","",'Chart Review Info'!$E$25)</f>
        <v/>
      </c>
      <c r="E38" s="45" t="str">
        <f>IF(MRN_12="N/A","",COUNTIFS(Data!$M$92:$M$690,$C38,Data!$O$92:$O$690,"Yes"))</f>
        <v/>
      </c>
      <c r="F38" s="45" t="str">
        <f>IF(MRN_12="N/A","",COUNTIFS(Data!$M$92:$M$690,$C38,Data!$N$92:$N$690,"Yes"))</f>
        <v/>
      </c>
      <c r="G38" s="34" t="str">
        <f>IF(MRN_12="N/A","",SUMIFS(Data!$H$92:$H$690,Data!$M$92:$M$690,$C38,Data!$N$92:$N$690,"Yes"))</f>
        <v/>
      </c>
    </row>
    <row r="39" spans="1:13" x14ac:dyDescent="0.2">
      <c r="A39" s="70">
        <v>13</v>
      </c>
      <c r="B39" s="3"/>
      <c r="C39" s="37" t="str">
        <f t="shared" si="0"/>
        <v>Client_13</v>
      </c>
      <c r="D39" s="47" t="str">
        <f>IF(MRN_13="N/A","",'Chart Review Info'!$E$26)</f>
        <v/>
      </c>
      <c r="E39" s="47" t="str">
        <f>IF(MRN_13="N/A","",COUNTIFS(Data!$M$92:$M$690,$C39,Data!$O$92:$O$690,"Yes"))</f>
        <v/>
      </c>
      <c r="F39" s="47" t="str">
        <f>IF(MRN_13="N/A","",COUNTIFS(Data!$M$92:$M$690,$C39,Data!$N$92:$N$690,"Yes"))</f>
        <v/>
      </c>
      <c r="G39" s="61" t="str">
        <f>IF(MRN_13="N/A","",SUMIFS(Data!$H$92:$H$690,Data!$M$92:$M$690,$C39,Data!$N$92:$N$690,"Yes"))</f>
        <v/>
      </c>
    </row>
    <row r="40" spans="1:13" x14ac:dyDescent="0.2">
      <c r="A40" s="70">
        <v>14</v>
      </c>
      <c r="B40" s="3"/>
      <c r="C40" s="37" t="str">
        <f t="shared" si="0"/>
        <v>Client_14</v>
      </c>
      <c r="D40" s="45" t="str">
        <f>IF(MRN_14="N/A","",'Chart Review Info'!$E$27)</f>
        <v/>
      </c>
      <c r="E40" s="45" t="str">
        <f>IF(MRN_14="N/A","",COUNTIFS(Data!$M$92:$M$690,$C40,Data!$O$92:$O$690,"Yes"))</f>
        <v/>
      </c>
      <c r="F40" s="45" t="str">
        <f>IF(MRN_14="N/A","",COUNTIFS(Data!$M$92:$M$690,$C40,Data!$N$92:$N$690,"Yes"))</f>
        <v/>
      </c>
      <c r="G40" s="34" t="str">
        <f>IF(MRN_14="N/A","",SUMIFS(Data!$H$92:$H$690,Data!$M$92:$M$690,$C40,Data!$N$92:$N$690,"Yes"))</f>
        <v/>
      </c>
    </row>
    <row r="41" spans="1:13" x14ac:dyDescent="0.2">
      <c r="A41" s="70">
        <v>15</v>
      </c>
      <c r="B41" s="3"/>
      <c r="C41" s="37" t="str">
        <f t="shared" si="0"/>
        <v>Client_15</v>
      </c>
      <c r="D41" s="47" t="str">
        <f>IF(MRN_15="N/A","",'Chart Review Info'!$E$28)</f>
        <v/>
      </c>
      <c r="E41" s="47" t="str">
        <f>IF(MRN_15="N/A","",COUNTIFS(Data!$M$92:$M$690,$C41,Data!$O$92:$O$690,"Yes"))</f>
        <v/>
      </c>
      <c r="F41" s="47" t="str">
        <f>IF(MRN_15="N/A","",COUNTIFS(Data!$M$92:$M$690,$C41,Data!$N$92:$N$690,"Yes"))</f>
        <v/>
      </c>
      <c r="G41" s="61" t="str">
        <f>IF(MRN_15="N/A","",SUMIFS(Data!$H$92:$H$690,Data!$M$92:$M$690,$C41,Data!$N$92:$N$690,"Yes"))</f>
        <v/>
      </c>
    </row>
    <row r="42" spans="1:13" x14ac:dyDescent="0.2">
      <c r="A42" s="70">
        <v>16</v>
      </c>
      <c r="B42" s="3"/>
      <c r="C42" s="37" t="str">
        <f t="shared" si="0"/>
        <v>Client_16</v>
      </c>
      <c r="D42" s="45" t="str">
        <f>IF(MRN_16="N/A","",'Chart Review Info'!$E$29)</f>
        <v/>
      </c>
      <c r="E42" s="45" t="str">
        <f>IF(MRN_16="N/A","",COUNTIFS(Data!$M$92:$M$690,$C42,Data!$O$92:$O$690,"Yes"))</f>
        <v/>
      </c>
      <c r="F42" s="45" t="str">
        <f>IF(MRN_16="N/A","",COUNTIFS(Data!$M$92:$M$690,$C42,Data!$N$92:$N$690,"Yes"))</f>
        <v/>
      </c>
      <c r="G42" s="34" t="str">
        <f>IF(MRN_16="N/A","",SUMIFS(Data!$H$92:$H$690,Data!$M$92:$M$690,$C42,Data!$N$92:$N$690,"Yes"))</f>
        <v/>
      </c>
    </row>
    <row r="43" spans="1:13" x14ac:dyDescent="0.2">
      <c r="A43" s="70">
        <v>17</v>
      </c>
      <c r="B43" s="3"/>
      <c r="C43" s="37" t="str">
        <f t="shared" si="0"/>
        <v>Client_17</v>
      </c>
      <c r="D43" s="47" t="str">
        <f>IF(MRN_17="N/A","",'Chart Review Info'!$E$30)</f>
        <v/>
      </c>
      <c r="E43" s="47" t="str">
        <f>IF(MRN_17="N/A","",COUNTIFS(Data!$M$92:$M$690,$C43,Data!$O$92:$O$690,"Yes"))</f>
        <v/>
      </c>
      <c r="F43" s="47" t="str">
        <f>IF(MRN_17="N/A","",COUNTIFS(Data!$M$92:$M$690,$C43,Data!$N$92:$N$690,"Yes"))</f>
        <v/>
      </c>
      <c r="G43" s="61" t="str">
        <f>IF(MRN_17="N/A","",SUMIFS(Data!$H$92:$H$690,Data!$M$92:$M$690,$C43,Data!$N$92:$N$690,"Yes"))</f>
        <v/>
      </c>
    </row>
    <row r="44" spans="1:13" x14ac:dyDescent="0.2">
      <c r="A44" s="70">
        <v>18</v>
      </c>
      <c r="B44" s="3"/>
      <c r="C44" s="37" t="str">
        <f t="shared" si="0"/>
        <v>Client_18</v>
      </c>
      <c r="D44" s="45" t="str">
        <f>IF(MRN_18="N/A","",'Chart Review Info'!$E$31)</f>
        <v/>
      </c>
      <c r="E44" s="45" t="str">
        <f>IF(MRN_18="N/A","",COUNTIFS(Data!$M$92:$M$690,$C44,Data!$O$92:$O$690,"Yes"))</f>
        <v/>
      </c>
      <c r="F44" s="45" t="str">
        <f>IF(MRN_18="N/A","",COUNTIFS(Data!$M$92:$M$690,$C44,Data!$N$92:$N$690,"Yes"))</f>
        <v/>
      </c>
      <c r="G44" s="34" t="str">
        <f>IF(MRN_18="N/A","",SUMIFS(Data!$H$92:$H$690,Data!$M$92:$M$690,$C44,Data!$N$92:$N$690,"Yes"))</f>
        <v/>
      </c>
    </row>
    <row r="45" spans="1:13" x14ac:dyDescent="0.2">
      <c r="A45" s="70">
        <v>19</v>
      </c>
      <c r="B45" s="3"/>
      <c r="C45" s="37" t="str">
        <f t="shared" si="0"/>
        <v>Client_19</v>
      </c>
      <c r="D45" s="47" t="str">
        <f>IF(MRN_19="N/A","",'Chart Review Info'!$E$32)</f>
        <v/>
      </c>
      <c r="E45" s="47" t="str">
        <f>IF(MRN_19="N/A","",COUNTIFS(Data!$M$92:$M$690,$C45,Data!$O$92:$O$690,"Yes"))</f>
        <v/>
      </c>
      <c r="F45" s="47" t="str">
        <f>IF(MRN_19="N/A","",COUNTIFS(Data!$M$92:$M$690,$C45,Data!$N$92:$N$690,"Yes"))</f>
        <v/>
      </c>
      <c r="G45" s="61" t="str">
        <f>IF(MRN_19="N/A","",SUMIFS(Data!$H$92:$H$690,Data!$M$92:$M$690,$C45,Data!$N$92:$N$690,"Yes"))</f>
        <v/>
      </c>
    </row>
    <row r="46" spans="1:13" x14ac:dyDescent="0.2">
      <c r="A46" s="70">
        <v>20</v>
      </c>
      <c r="B46" s="3"/>
      <c r="C46" s="37" t="str">
        <f>"Client_"&amp;A46</f>
        <v>Client_20</v>
      </c>
      <c r="D46" s="57" t="str">
        <f>IF(MRN_20="N/A","",'Chart Review Info'!$E$33)</f>
        <v/>
      </c>
      <c r="E46" s="57" t="str">
        <f>IF(MRN_20="N/A","",COUNTIFS(Data!$M$92:$M$690,$C46,Data!$O$92:$O$690,"Yes"))</f>
        <v/>
      </c>
      <c r="F46" s="57" t="str">
        <f>IF(MRN_20="N/A","",COUNTIFS(Data!$M$92:$M$690,$C46,Data!$N$92:$N$690,"Yes"))</f>
        <v/>
      </c>
      <c r="G46" s="39" t="str">
        <f>IF(MRN_20="N/A","",SUMIFS(Data!$H$92:$H$690,Data!$M$92:$M$690,$C46,Data!$N$92:$N$690,"Yes"))</f>
        <v/>
      </c>
    </row>
    <row r="47" spans="1:13" x14ac:dyDescent="0.2">
      <c r="A47" s="70"/>
      <c r="B47" s="3"/>
      <c r="C47" s="35" t="s">
        <v>65</v>
      </c>
      <c r="D47" s="62"/>
      <c r="E47" s="62"/>
      <c r="F47" s="62"/>
      <c r="G47" s="63"/>
    </row>
    <row r="48" spans="1:13" x14ac:dyDescent="0.2">
      <c r="A48" s="70"/>
      <c r="B48" s="3"/>
      <c r="D48"/>
    </row>
    <row r="49" spans="1:11" x14ac:dyDescent="0.2">
      <c r="C49" s="12"/>
      <c r="D49"/>
      <c r="G49" s="40"/>
    </row>
    <row r="50" spans="1:11" ht="15.75" x14ac:dyDescent="0.25">
      <c r="C50" s="64" t="s">
        <v>66</v>
      </c>
      <c r="D50" s="65"/>
      <c r="E50" s="65"/>
      <c r="F50" s="66"/>
      <c r="G50" s="67" t="s">
        <v>67</v>
      </c>
      <c r="H50" s="65"/>
      <c r="I50" s="65"/>
      <c r="J50" s="65"/>
      <c r="K50" s="404" t="s">
        <v>45</v>
      </c>
    </row>
    <row r="51" spans="1:11" ht="15.75" x14ac:dyDescent="0.2">
      <c r="C51" s="402"/>
      <c r="D51" s="472" t="s">
        <v>68</v>
      </c>
      <c r="E51" s="473"/>
      <c r="F51" s="473"/>
      <c r="G51" s="473"/>
      <c r="H51" s="473"/>
      <c r="I51" s="473"/>
      <c r="J51" s="474"/>
      <c r="K51" s="403"/>
    </row>
    <row r="52" spans="1:11" ht="84" customHeight="1" x14ac:dyDescent="0.2">
      <c r="A52" s="93" t="s">
        <v>69</v>
      </c>
      <c r="B52" s="53"/>
      <c r="C52" s="110" t="str">
        <f>'Client 1'!C9</f>
        <v>A1</v>
      </c>
      <c r="D52" s="451" t="str">
        <f>'Client 1'!D9</f>
        <v xml:space="preserve">During covered review period the current Demographic form was completed and final approved within required timelines.  This includes a typed or legibly printed name, signature of the service provider and date of signature.(F/A within 30 calendar days of program assignment or at a minimum of annually from previous Demographic Form final approval date).  </v>
      </c>
      <c r="E52" s="452"/>
      <c r="F52" s="452"/>
      <c r="G52" s="452"/>
      <c r="H52" s="452"/>
      <c r="I52" s="452"/>
      <c r="J52" s="453"/>
      <c r="K52" s="291">
        <f ca="1">Data!V$120</f>
        <v>0</v>
      </c>
    </row>
    <row r="53" spans="1:11" ht="115.5" customHeight="1" x14ac:dyDescent="0.2">
      <c r="A53" s="93">
        <v>1</v>
      </c>
      <c r="B53" s="53"/>
      <c r="C53" s="110" t="str">
        <f>'Client 1'!C10</f>
        <v>A2</v>
      </c>
      <c r="D53" s="451" t="str">
        <f>'Client 1'!D10</f>
        <v>During the covered review period,  the current Behavioral Health Assessment (BHA) was completed and final approved within required timelines. This includes signature(s) of the service provider working within scope of practice and date of signature.
(F/A within 60 calendar days of program assignment (date of assignment counts as day one) or updated as clinically appropriate but no longer than 3 years from previous BHA by program).</v>
      </c>
      <c r="E53" s="452"/>
      <c r="F53" s="452"/>
      <c r="G53" s="452"/>
      <c r="H53" s="452"/>
      <c r="I53" s="452"/>
      <c r="J53" s="453"/>
      <c r="K53" s="291">
        <f ca="1">Data!W$120</f>
        <v>0</v>
      </c>
    </row>
    <row r="54" spans="1:11" ht="69" customHeight="1" x14ac:dyDescent="0.2">
      <c r="A54" s="93" t="s">
        <v>70</v>
      </c>
      <c r="B54" s="53"/>
      <c r="C54" s="110" t="str">
        <f>'Client 1'!C11</f>
        <v>A2a</v>
      </c>
      <c r="D54" s="451" t="str">
        <f>'Client 1'!D11</f>
        <v xml:space="preserve">Domain 1: Presenting Problem(s), History of Presenting Problem(s) and Beneficiary-Identified Impairment(s):  In the BHA covering the review period, the documentation evidences and supports how client meets or continues to meet medical necessity and access criteria for SMHS. </v>
      </c>
      <c r="E54" s="452"/>
      <c r="F54" s="452"/>
      <c r="G54" s="452"/>
      <c r="H54" s="452"/>
      <c r="I54" s="452"/>
      <c r="J54" s="453"/>
      <c r="K54" s="291">
        <f ca="1">Data!X$120</f>
        <v>0</v>
      </c>
    </row>
    <row r="55" spans="1:11" ht="54" customHeight="1" x14ac:dyDescent="0.2">
      <c r="A55" s="93">
        <v>1</v>
      </c>
      <c r="C55" s="110" t="str">
        <f>'Client 1'!C12</f>
        <v>A2b</v>
      </c>
      <c r="D55" s="451" t="str">
        <f>'Client 1'!D12</f>
        <v>Domain 1: MSE: In the BHA covering the review period, the Mental Status Exam has been completed in full, within scope of practice, by licensed/waivered/registered clinician.</v>
      </c>
      <c r="E55" s="452"/>
      <c r="F55" s="452"/>
      <c r="G55" s="452"/>
      <c r="H55" s="452"/>
      <c r="I55" s="452"/>
      <c r="J55" s="453"/>
      <c r="K55" s="291">
        <f ca="1">Data!Y$120</f>
        <v>0</v>
      </c>
    </row>
    <row r="56" spans="1:11" ht="40.5" customHeight="1" x14ac:dyDescent="0.2">
      <c r="A56" s="93">
        <v>1</v>
      </c>
      <c r="C56" s="110" t="str">
        <f>'Client 1'!C13</f>
        <v>A2c</v>
      </c>
      <c r="D56" s="451" t="str">
        <f>'Client 1'!D13</f>
        <v>Domain 2: Trauma:   In the BHA covering the review period, documentation evidences assessment for or documentation of history or exposure to trauma.</v>
      </c>
      <c r="E56" s="452"/>
      <c r="F56" s="452"/>
      <c r="G56" s="452"/>
      <c r="H56" s="452"/>
      <c r="I56" s="452"/>
      <c r="J56" s="453"/>
      <c r="K56" s="291">
        <f ca="1">Data!Z$120</f>
        <v>0</v>
      </c>
    </row>
    <row r="57" spans="1:11" ht="48" customHeight="1" x14ac:dyDescent="0.2">
      <c r="A57" s="93">
        <v>1</v>
      </c>
      <c r="C57" s="110" t="str">
        <f>'Client 1'!C14</f>
        <v>A2d</v>
      </c>
      <c r="D57" s="451" t="str">
        <f>'Client 1'!D14</f>
        <v>Domain 3: Behavioral Health History, Comorbidity:  In the BHA covering the review period, past and current substance use and its impact on client functioning is documented and diagnosed, if applicable.</v>
      </c>
      <c r="E57" s="452"/>
      <c r="F57" s="452"/>
      <c r="G57" s="452"/>
      <c r="H57" s="452"/>
      <c r="I57" s="452"/>
      <c r="J57" s="453"/>
      <c r="K57" s="291">
        <f ca="1">Data!AA$120</f>
        <v>0</v>
      </c>
    </row>
    <row r="58" spans="1:11" ht="66.75" customHeight="1" x14ac:dyDescent="0.2">
      <c r="A58" s="93">
        <v>1</v>
      </c>
      <c r="C58" s="110" t="str">
        <f>'Client 1'!C15</f>
        <v>A2e</v>
      </c>
      <c r="D58" s="451" t="str">
        <f>'Client 1'!D15</f>
        <v xml:space="preserve">Domain 4: Medical History, Current Medications, Comorbidity with Behavioral Health: In the BHA covering the review period, documentation indicates relevant current or past physical health conditions and/or co-morbidity with mental health, as applicable. </v>
      </c>
      <c r="E58" s="452"/>
      <c r="F58" s="452"/>
      <c r="G58" s="452"/>
      <c r="H58" s="452"/>
      <c r="I58" s="452"/>
      <c r="J58" s="453"/>
      <c r="K58" s="291">
        <f ca="1">Data!AB$120</f>
        <v>0</v>
      </c>
    </row>
    <row r="59" spans="1:11" ht="73.5" customHeight="1" x14ac:dyDescent="0.2">
      <c r="A59" s="93">
        <v>1</v>
      </c>
      <c r="B59" s="53"/>
      <c r="C59" s="110" t="str">
        <f>'Client 1'!C16</f>
        <v>A2f</v>
      </c>
      <c r="D59" s="451" t="str">
        <f>'Client 1'!D16</f>
        <v>Domain 5: Social and Life Circumstances, Culture/Religion/Spirituality: In the BHA covering the review period, documentation evidences a cultural formulation which includes an understanding of how and/or if clients social and life circumstances (culture/religion/spirituality/socioeconomic status/etc) impacts their mental health.</v>
      </c>
      <c r="E59" s="452"/>
      <c r="F59" s="452"/>
      <c r="G59" s="452"/>
      <c r="H59" s="452"/>
      <c r="I59" s="452"/>
      <c r="J59" s="453"/>
      <c r="K59" s="291">
        <f ca="1">Data!AC$120</f>
        <v>0</v>
      </c>
    </row>
    <row r="60" spans="1:11" ht="53.25" customHeight="1" x14ac:dyDescent="0.2">
      <c r="A60" s="93" t="s">
        <v>70</v>
      </c>
      <c r="B60" s="53"/>
      <c r="C60" s="110" t="str">
        <f>'Client 1'!C17</f>
        <v>A2g</v>
      </c>
      <c r="D60" s="451" t="str">
        <f>'Client 1'!D17</f>
        <v>Domain 6: Strengths, Risk Behaviors and Safety Factors:  The PRA includes safety plan details which address risk factors identified throughout the BHA and within the PRA (*) questions.</v>
      </c>
      <c r="E60" s="452"/>
      <c r="F60" s="452"/>
      <c r="G60" s="452"/>
      <c r="H60" s="452"/>
      <c r="I60" s="452"/>
      <c r="J60" s="453"/>
      <c r="K60" s="291">
        <f ca="1">Data!AD$120</f>
        <v>0</v>
      </c>
    </row>
    <row r="61" spans="1:11" ht="102.75" customHeight="1" x14ac:dyDescent="0.2">
      <c r="A61" s="93" t="s">
        <v>70</v>
      </c>
      <c r="B61" s="53"/>
      <c r="C61" s="110" t="str">
        <f>'Client 1'!C18</f>
        <v>A2h</v>
      </c>
      <c r="D61" s="451" t="str">
        <f>'Client 1'!D18</f>
        <v xml:space="preserve">Domain 7: Clinical Summary and Recommendations, Diagnostic Impression, Medical Necessity Determination/Level of Care/Access Criteria: The BHA covering the review period has a clinical formulation which describes client's behavioral health needs (symptoms, condition, diagnostic impressions, and/or risk factors) meeting medical necessity and/or access criteria, and service recommendations including proposed plan of care to address the client's behavioral health needs  </v>
      </c>
      <c r="E61" s="452"/>
      <c r="F61" s="452"/>
      <c r="G61" s="452"/>
      <c r="H61" s="452"/>
      <c r="I61" s="452"/>
      <c r="J61" s="453"/>
      <c r="K61" s="291">
        <f ca="1">Data!AE$120</f>
        <v>0</v>
      </c>
    </row>
    <row r="62" spans="1:11" ht="69.75" customHeight="1" x14ac:dyDescent="0.2">
      <c r="C62" s="110" t="s">
        <v>213</v>
      </c>
      <c r="D62" s="451" t="str">
        <f>'Client 1'!D19</f>
        <v xml:space="preserve">Are all applicable diagnoses (ICD-10 and/or MH Z-codes), including any substance use disorders, present and consistent with the information noted in the assessment? *Diagnostic impression and included diagnoses must be completed within scope of practice by licensed/waivered/registered clinician.  </v>
      </c>
      <c r="E62" s="452"/>
      <c r="F62" s="452"/>
      <c r="G62" s="452"/>
      <c r="H62" s="452"/>
      <c r="I62" s="452"/>
      <c r="J62" s="453"/>
      <c r="K62" s="291">
        <f ca="1">Data!AF$120</f>
        <v>0</v>
      </c>
    </row>
    <row r="63" spans="1:11" ht="15.75" x14ac:dyDescent="0.2">
      <c r="A63" s="93">
        <v>1</v>
      </c>
      <c r="C63" s="109"/>
      <c r="D63" s="454" t="s">
        <v>71</v>
      </c>
      <c r="E63" s="455"/>
      <c r="F63" s="455"/>
      <c r="G63" s="455"/>
      <c r="H63" s="455"/>
      <c r="I63" s="455"/>
      <c r="J63" s="456"/>
      <c r="K63" s="290"/>
    </row>
    <row r="64" spans="1:11" ht="30" x14ac:dyDescent="0.2">
      <c r="A64" s="93" t="s">
        <v>70</v>
      </c>
      <c r="C64" s="110" t="str">
        <f>'Client 1'!C23</f>
        <v>PL1</v>
      </c>
      <c r="D64" s="445" t="str">
        <f>'Client 1'!D23</f>
        <v>Is there a problem list present in the chart that includes all required elements?</v>
      </c>
      <c r="E64" s="446"/>
      <c r="F64" s="446"/>
      <c r="G64" s="446"/>
      <c r="H64" s="446"/>
      <c r="I64" s="446"/>
      <c r="J64" s="447"/>
      <c r="K64" s="291">
        <f ca="1">Data!AH$120</f>
        <v>0</v>
      </c>
    </row>
    <row r="65" spans="1:11" ht="46.5" customHeight="1" x14ac:dyDescent="0.2">
      <c r="A65" s="93" t="s">
        <v>69</v>
      </c>
      <c r="B65" s="53"/>
      <c r="C65" s="110" t="str">
        <f>'Client 1'!C24</f>
        <v>PL2</v>
      </c>
      <c r="D65" s="445" t="str">
        <f>'Client 1'!D24</f>
        <v>Is the name and  title present of each provider that identified, added or removed items from the problem list as well as the date the items were identified, added or removed?</v>
      </c>
      <c r="E65" s="446"/>
      <c r="F65" s="446"/>
      <c r="G65" s="446"/>
      <c r="H65" s="446"/>
      <c r="I65" s="446"/>
      <c r="J65" s="447"/>
      <c r="K65" s="291">
        <f ca="1">Data!AI$120</f>
        <v>0</v>
      </c>
    </row>
    <row r="66" spans="1:11" ht="45" x14ac:dyDescent="0.2">
      <c r="A66" s="93" t="s">
        <v>69</v>
      </c>
      <c r="B66" s="53"/>
      <c r="C66" s="110" t="str">
        <f>'Client 1'!C25</f>
        <v>PL3</v>
      </c>
      <c r="D66" s="445" t="str">
        <f>'Client 1'!D25</f>
        <v xml:space="preserve">Has the problem list been updated on an ongoing basis to reflect the current presentation of the beneficiary and within a reasonable time and in accordance with generally accepted standards of practice?  </v>
      </c>
      <c r="E66" s="446"/>
      <c r="F66" s="446"/>
      <c r="G66" s="446"/>
      <c r="H66" s="446"/>
      <c r="I66" s="446"/>
      <c r="J66" s="447"/>
      <c r="K66" s="291">
        <f ca="1">Data!AJ$120</f>
        <v>0</v>
      </c>
    </row>
    <row r="67" spans="1:11" ht="53.25" customHeight="1" x14ac:dyDescent="0.2">
      <c r="C67" s="110" t="str">
        <f>'Client 1'!C26</f>
        <v>PL4</v>
      </c>
      <c r="D67" s="445" t="str">
        <f>'Client 1'!D26</f>
        <v>Does the problem list reflect the current client needs, including any identified diagnoses, social determinants of health and/or Z codes and has the problem list been updated any time there is a relevant change to the beneficiary's condition?</v>
      </c>
      <c r="E67" s="446"/>
      <c r="F67" s="446"/>
      <c r="G67" s="446"/>
      <c r="H67" s="446"/>
      <c r="I67" s="446"/>
      <c r="J67" s="447"/>
      <c r="K67" s="291">
        <f ca="1">Data!AK$120</f>
        <v>0</v>
      </c>
    </row>
    <row r="68" spans="1:11" ht="21.75" customHeight="1" x14ac:dyDescent="0.2">
      <c r="A68" s="93" t="s">
        <v>69</v>
      </c>
      <c r="C68" s="109"/>
      <c r="D68" s="454" t="s">
        <v>465</v>
      </c>
      <c r="E68" s="455"/>
      <c r="F68" s="455"/>
      <c r="G68" s="455"/>
      <c r="H68" s="455"/>
      <c r="I68" s="455"/>
      <c r="J68" s="456"/>
      <c r="K68" s="290"/>
    </row>
    <row r="69" spans="1:11" ht="64.5" customHeight="1" x14ac:dyDescent="0.2">
      <c r="A69" s="93" t="s">
        <v>73</v>
      </c>
      <c r="B69" s="53"/>
      <c r="C69" s="110" t="str">
        <f>'Client 1'!C30</f>
        <v xml:space="preserve">CP1
</v>
      </c>
      <c r="D69" s="469" t="str">
        <f>'Client 1'!D30</f>
        <v>The client's agreed upon plan covering the review period was completed or updated and final approved within 60 calendar days of assignment or at a minimum of annually (or at UM, whichever comes first - CYF only) from previous plan final approval date. (For services which require a formal client plan)</v>
      </c>
      <c r="E69" s="470"/>
      <c r="F69" s="470"/>
      <c r="G69" s="470"/>
      <c r="H69" s="470"/>
      <c r="I69" s="470"/>
      <c r="J69" s="471"/>
      <c r="K69" s="291">
        <f>Data!AM$120</f>
        <v>0</v>
      </c>
    </row>
    <row r="70" spans="1:11" ht="36" customHeight="1" x14ac:dyDescent="0.2">
      <c r="A70" s="93" t="s">
        <v>70</v>
      </c>
      <c r="B70" s="53"/>
      <c r="C70" s="110" t="str">
        <f>'Client 1'!C31</f>
        <v xml:space="preserve">CP2
</v>
      </c>
      <c r="D70" s="469" t="str">
        <f>'Client 1'!D31</f>
        <v>The Client Plan covering the review period is documented with specific client strengths that are applied to support client goals and objectives.</v>
      </c>
      <c r="E70" s="470"/>
      <c r="F70" s="470"/>
      <c r="G70" s="470"/>
      <c r="H70" s="470"/>
      <c r="I70" s="470"/>
      <c r="J70" s="471"/>
      <c r="K70" s="291">
        <f>Data!AN$120</f>
        <v>0</v>
      </c>
    </row>
    <row r="71" spans="1:11" ht="62.25" customHeight="1" x14ac:dyDescent="0.2">
      <c r="A71" s="93" t="s">
        <v>70</v>
      </c>
      <c r="B71" s="53"/>
      <c r="C71" s="110" t="str">
        <f>'Client 1'!C32</f>
        <v xml:space="preserve">CP3
</v>
      </c>
      <c r="D71" s="469" t="str">
        <f>'Client 1'!D32</f>
        <v>The Client Plan covering the review period includes objectives that are specific and are related to the client's behavioral health needs as indicated on the Problem List and include the intervention(s) to be utilized to assist the client in reaching goals of treatment</v>
      </c>
      <c r="E71" s="470"/>
      <c r="F71" s="470"/>
      <c r="G71" s="470"/>
      <c r="H71" s="470"/>
      <c r="I71" s="470"/>
      <c r="J71" s="471"/>
      <c r="K71" s="291">
        <f>Data!AO$120</f>
        <v>0</v>
      </c>
    </row>
    <row r="72" spans="1:11" ht="33" customHeight="1" x14ac:dyDescent="0.2">
      <c r="A72" s="93" t="s">
        <v>69</v>
      </c>
      <c r="B72" s="53"/>
      <c r="C72" s="110" t="str">
        <f>'Client 1'!C33</f>
        <v xml:space="preserve">CP4
</v>
      </c>
      <c r="D72" s="469" t="str">
        <f>'Client 1'!D33</f>
        <v xml:space="preserve">The Client Plan Interventions for services requiring a client plan are listed as indicated in the objectives narrative.  </v>
      </c>
      <c r="E72" s="470"/>
      <c r="F72" s="470"/>
      <c r="G72" s="470"/>
      <c r="H72" s="470"/>
      <c r="I72" s="470"/>
      <c r="J72" s="471"/>
      <c r="K72" s="291">
        <f>Data!AP120</f>
        <v>0</v>
      </c>
    </row>
    <row r="73" spans="1:11" ht="21.75" customHeight="1" x14ac:dyDescent="0.2">
      <c r="A73" s="93" t="s">
        <v>69</v>
      </c>
      <c r="B73" s="53"/>
      <c r="C73" s="109"/>
      <c r="D73" s="454" t="s">
        <v>72</v>
      </c>
      <c r="E73" s="455"/>
      <c r="F73" s="455"/>
      <c r="G73" s="455"/>
      <c r="H73" s="455"/>
      <c r="I73" s="455"/>
      <c r="J73" s="456"/>
      <c r="K73" s="290"/>
    </row>
    <row r="74" spans="1:11" ht="77.25" customHeight="1" x14ac:dyDescent="0.2">
      <c r="A74" s="93" t="s">
        <v>70</v>
      </c>
      <c r="B74" s="53"/>
      <c r="C74" s="111" t="str">
        <f>'Client 1'!C37</f>
        <v>PN1</v>
      </c>
      <c r="D74" s="445" t="str">
        <f>'Client 1'!D37</f>
        <v>Were progress notes finalized within 3 business days (with the exception of progress notes for crisis services, which shall be completed within 24 hours)?
*this will be marked out of compliance if &gt;5% of PN during review period are F/A &gt;3 days (per chart)</v>
      </c>
      <c r="E74" s="446"/>
      <c r="F74" s="446"/>
      <c r="G74" s="446"/>
      <c r="H74" s="446"/>
      <c r="I74" s="446"/>
      <c r="J74" s="447"/>
      <c r="K74" s="291">
        <f ca="1">Data!AR$120</f>
        <v>0</v>
      </c>
    </row>
    <row r="75" spans="1:11" ht="39" customHeight="1" x14ac:dyDescent="0.2">
      <c r="A75" s="93" t="s">
        <v>73</v>
      </c>
      <c r="B75" s="53"/>
      <c r="C75" s="111" t="str">
        <f>'Client 1'!C39</f>
        <v>PN2</v>
      </c>
      <c r="D75" s="445" t="str">
        <f>'Client 1'!D39</f>
        <v>Are paper progress notes signed (or the electronic equivalent) by the person providing the service? If no, identify the claims in the Services Addendum.
MHP Contract; BHIN 22-019</v>
      </c>
      <c r="E75" s="446"/>
      <c r="F75" s="446"/>
      <c r="G75" s="446"/>
      <c r="H75" s="446"/>
      <c r="I75" s="446"/>
      <c r="J75" s="447"/>
      <c r="K75" s="291">
        <f ca="1">Data!AS$120</f>
        <v>0</v>
      </c>
    </row>
    <row r="76" spans="1:11" ht="30" x14ac:dyDescent="0.2">
      <c r="A76" s="93" t="s">
        <v>70</v>
      </c>
      <c r="B76" s="53"/>
      <c r="C76" s="111" t="str">
        <f>'Client 1'!C40</f>
        <v>PN3</v>
      </c>
      <c r="D76" s="445" t="str">
        <f>'Client 1'!D40</f>
        <v xml:space="preserve">Do all progress notes include a sufficient description of  interventions provided to address the beneficiary's behavioral health needs?  </v>
      </c>
      <c r="E76" s="446"/>
      <c r="F76" s="446"/>
      <c r="G76" s="446"/>
      <c r="H76" s="446"/>
      <c r="I76" s="446"/>
      <c r="J76" s="447"/>
      <c r="K76" s="291">
        <f ca="1">Data!AT$120</f>
        <v>0</v>
      </c>
    </row>
    <row r="77" spans="1:11" ht="35.25" customHeight="1" x14ac:dyDescent="0.2">
      <c r="A77" s="93" t="s">
        <v>73</v>
      </c>
      <c r="B77" s="53"/>
      <c r="C77" s="111" t="str">
        <f>'Client 1'!C41</f>
        <v>PN4</v>
      </c>
      <c r="D77" s="445" t="str">
        <f>'Client 1'!D41</f>
        <v xml:space="preserve">Do all progress notes include a sufficient description of client response to interventions provided to address the beneficiary's behavioral health needs? </v>
      </c>
      <c r="E77" s="446"/>
      <c r="F77" s="446"/>
      <c r="G77" s="446"/>
      <c r="H77" s="446"/>
      <c r="I77" s="446"/>
      <c r="J77" s="447"/>
      <c r="K77" s="291">
        <f ca="1">Data!AU$120</f>
        <v>0</v>
      </c>
    </row>
    <row r="78" spans="1:11" ht="33" customHeight="1" x14ac:dyDescent="0.2">
      <c r="A78" s="93" t="s">
        <v>70</v>
      </c>
      <c r="B78" s="53"/>
      <c r="C78" s="111" t="str">
        <f>'Client 1'!C42</f>
        <v>PN5</v>
      </c>
      <c r="D78" s="445" t="str">
        <f>'Client 1'!D42</f>
        <v>Do progress notes include next steps to be taken by the beneficiary and/or provider to address beneficiary's behavioral health needs?</v>
      </c>
      <c r="E78" s="446"/>
      <c r="F78" s="446"/>
      <c r="G78" s="446"/>
      <c r="H78" s="446"/>
      <c r="I78" s="446"/>
      <c r="J78" s="447"/>
      <c r="K78" s="291">
        <f ca="1">Data!AV$120</f>
        <v>0</v>
      </c>
    </row>
    <row r="79" spans="1:11" ht="52.5" customHeight="1" x14ac:dyDescent="0.2">
      <c r="A79" s="93">
        <v>1</v>
      </c>
      <c r="B79" s="53"/>
      <c r="C79" s="111" t="str">
        <f>'Client 1'!C43</f>
        <v>PN6</v>
      </c>
      <c r="D79" s="445" t="str">
        <f>'Client 1'!D43</f>
        <v>For clients with identified risks, do progress notes document ongoing assessment, clinical monitoring, and intervention(s) that relate to the level of risk, when appropriate?</v>
      </c>
      <c r="E79" s="446"/>
      <c r="F79" s="446"/>
      <c r="G79" s="446"/>
      <c r="H79" s="446"/>
      <c r="I79" s="446"/>
      <c r="J79" s="447"/>
      <c r="K79" s="291">
        <f ca="1">Data!AW$120</f>
        <v>0</v>
      </c>
    </row>
    <row r="80" spans="1:11" ht="46.5" customHeight="1" x14ac:dyDescent="0.2">
      <c r="C80" s="111" t="str">
        <f>'Client 1'!C44</f>
        <v>PN7</v>
      </c>
      <c r="D80" s="445" t="str">
        <f>'Client 1'!D44</f>
        <v>For clients diagnosed with a co-occurring substance use disorder, do progress notes document specific integrated mental health treatment approaches, when appropriate?</v>
      </c>
      <c r="E80" s="446"/>
      <c r="F80" s="446"/>
      <c r="G80" s="446"/>
      <c r="H80" s="446"/>
      <c r="I80" s="446"/>
      <c r="J80" s="447"/>
      <c r="K80" s="291">
        <f ca="1">Data!AX$120</f>
        <v>0</v>
      </c>
    </row>
    <row r="81" spans="1:11" ht="37.5" customHeight="1" x14ac:dyDescent="0.2">
      <c r="A81" s="93">
        <v>1</v>
      </c>
      <c r="C81" s="111" t="str">
        <f>'Client 1'!C45</f>
        <v>PN8</v>
      </c>
      <c r="D81" s="445" t="str">
        <f>'Client 1'!D45</f>
        <v>If necessary, were relevant substance use disorder (SUD) treatment referrals provided and documented in a progress note?</v>
      </c>
      <c r="E81" s="446"/>
      <c r="F81" s="446"/>
      <c r="G81" s="446"/>
      <c r="H81" s="446"/>
      <c r="I81" s="446"/>
      <c r="J81" s="447"/>
      <c r="K81" s="291">
        <f ca="1">Data!AY$120</f>
        <v>0</v>
      </c>
    </row>
    <row r="82" spans="1:11" ht="59.25" customHeight="1" x14ac:dyDescent="0.2">
      <c r="A82" s="93" t="s">
        <v>70</v>
      </c>
      <c r="B82" s="53"/>
      <c r="C82" s="111" t="str">
        <f>'Client 1'!C46</f>
        <v>PN9</v>
      </c>
      <c r="D82" s="445" t="str">
        <f>'Client 1'!D46</f>
        <v>For clients with physical health needs related to their mental health treatment, do progress notes document that physical health care is integrated into treatment through education, resources, referrals, symptom management and/or care coordination with physical healthcare providers?</v>
      </c>
      <c r="E82" s="446"/>
      <c r="F82" s="446"/>
      <c r="G82" s="446"/>
      <c r="H82" s="446"/>
      <c r="I82" s="446"/>
      <c r="J82" s="447"/>
      <c r="K82" s="291">
        <f ca="1">Data!AZ$120</f>
        <v>0</v>
      </c>
    </row>
    <row r="83" spans="1:11" ht="42.75" customHeight="1" x14ac:dyDescent="0.2">
      <c r="A83" s="93">
        <v>1</v>
      </c>
      <c r="C83" s="111" t="str">
        <f>'Client 1'!C47</f>
        <v>PN10</v>
      </c>
      <c r="D83" s="445" t="str">
        <f>'Client 1'!D47</f>
        <v>Are any gaps in service delivery supported by non-billable notes or explained elsewhere in the clinical record?</v>
      </c>
      <c r="E83" s="446"/>
      <c r="F83" s="446"/>
      <c r="G83" s="446"/>
      <c r="H83" s="446"/>
      <c r="I83" s="446"/>
      <c r="J83" s="447"/>
      <c r="K83" s="291">
        <f ca="1">Data!BA$120</f>
        <v>0</v>
      </c>
    </row>
    <row r="84" spans="1:11" ht="72.75" customHeight="1" x14ac:dyDescent="0.2">
      <c r="A84" s="93" t="s">
        <v>73</v>
      </c>
      <c r="B84" s="53"/>
      <c r="C84" s="111" t="str">
        <f>'Client 1'!C48</f>
        <v>PN11</v>
      </c>
      <c r="D84" s="445" t="str">
        <f>'Client 1'!D48</f>
        <v>During the covered review period, does the chart as a whole include evidence of care coordination across providers, agencies, county systems (e.g. child welfare and Behavioral Health (BH)), significant support person(s) and/or between delivery systems (Managed Care Plan (MCP) and Mental Health Plan (MHP))?</v>
      </c>
      <c r="E84" s="446"/>
      <c r="F84" s="446"/>
      <c r="G84" s="446"/>
      <c r="H84" s="446"/>
      <c r="I84" s="446"/>
      <c r="J84" s="447"/>
      <c r="K84" s="291">
        <f ca="1">Data!BB$120</f>
        <v>0</v>
      </c>
    </row>
    <row r="85" spans="1:11" ht="51" customHeight="1" x14ac:dyDescent="0.2">
      <c r="A85" s="93" t="s">
        <v>70</v>
      </c>
      <c r="C85" s="111" t="str">
        <f>'Client 1'!C49</f>
        <v>PN12</v>
      </c>
      <c r="D85" s="445" t="str">
        <f>'Client 1'!D49</f>
        <v>Based on the documentation as a whole, is there evidence that treatment is  person centered, culturally responsive and aligned with client needs? Survey only for educational comments.</v>
      </c>
      <c r="E85" s="446"/>
      <c r="F85" s="446"/>
      <c r="G85" s="446"/>
      <c r="H85" s="446"/>
      <c r="I85" s="446"/>
      <c r="J85" s="447"/>
      <c r="K85" s="291">
        <f ca="1">Data!BC$120</f>
        <v>0</v>
      </c>
    </row>
    <row r="86" spans="1:11" ht="24" customHeight="1" x14ac:dyDescent="0.2">
      <c r="A86" s="93">
        <v>1</v>
      </c>
      <c r="C86" s="109"/>
      <c r="D86" s="448" t="s">
        <v>74</v>
      </c>
      <c r="E86" s="449"/>
      <c r="F86" s="449"/>
      <c r="G86" s="449"/>
      <c r="H86" s="449"/>
      <c r="I86" s="449"/>
      <c r="J86" s="450"/>
      <c r="K86" s="292"/>
    </row>
    <row r="87" spans="1:11" ht="49.5" customHeight="1" x14ac:dyDescent="0.2">
      <c r="A87" s="93">
        <v>1</v>
      </c>
      <c r="C87" s="112" t="str">
        <f>'Client 1'!C53</f>
        <v>OD1</v>
      </c>
      <c r="D87" s="441" t="str">
        <f>'Client 1'!D53</f>
        <v>If telehealth or telephone services are provided, is there documented consent (written or verbal) specific to the provision of telehealth services prior to initial delivery of services?</v>
      </c>
      <c r="E87" s="442"/>
      <c r="F87" s="442"/>
      <c r="G87" s="442"/>
      <c r="H87" s="442"/>
      <c r="I87" s="442"/>
      <c r="J87" s="443"/>
      <c r="K87" s="291">
        <f ca="1">Data!BE$120</f>
        <v>0</v>
      </c>
    </row>
    <row r="88" spans="1:11" ht="81.75" customHeight="1" x14ac:dyDescent="0.2">
      <c r="A88" s="93"/>
      <c r="C88" s="112" t="str">
        <f>'Client 1'!C54</f>
        <v>OD2</v>
      </c>
      <c r="D88" s="441" t="str">
        <f>'Client 1'!D54</f>
        <v xml:space="preserve">For clients prescribed psychotropic medication by the program, there is an "Informed Consent for the Use of Psychotropic Medication" form signed by both client or family/legal guardian and psychiatrist, with all fields completed.. The use of the current form is required. (For CYF programs, evidence of the current JV-220 is maintained in the chart along with Informed Consent). </v>
      </c>
      <c r="E88" s="442"/>
      <c r="F88" s="442"/>
      <c r="G88" s="442"/>
      <c r="H88" s="442"/>
      <c r="I88" s="442"/>
      <c r="J88" s="443"/>
      <c r="K88" s="291">
        <f ca="1">Data!BF$120</f>
        <v>0</v>
      </c>
    </row>
    <row r="89" spans="1:11" ht="34.5" customHeight="1" x14ac:dyDescent="0.2">
      <c r="C89" s="112" t="str">
        <f>'Client 1'!C55</f>
        <v>OD2a</v>
      </c>
      <c r="D89" s="441" t="str">
        <f>'Client 1'!D55</f>
        <v>Medical staff is entering client medications and medical conditions into CCBH Medical Conditions tab or Doctor's Home Page (DHP).</v>
      </c>
      <c r="E89" s="442"/>
      <c r="F89" s="442"/>
      <c r="G89" s="442"/>
      <c r="H89" s="442"/>
      <c r="I89" s="442"/>
      <c r="J89" s="443"/>
      <c r="K89" s="291">
        <f ca="1">Data!BG$120</f>
        <v>0</v>
      </c>
    </row>
    <row r="90" spans="1:11" ht="72.75" customHeight="1" x14ac:dyDescent="0.2">
      <c r="A90" s="93" t="s">
        <v>70</v>
      </c>
      <c r="C90" s="112" t="str">
        <f>'Client 1'!C56</f>
        <v>OD3</v>
      </c>
      <c r="D90" s="441" t="str">
        <f>'Client 1'!D56</f>
        <v>For clients whose primary language is something other than English, is there evidence of informing materials and/or services is  provided to client in primary language or documented evidence that informing materials were explained to client in primary language with acknowledgement of understanding?</v>
      </c>
      <c r="E90" s="442"/>
      <c r="F90" s="442"/>
      <c r="G90" s="442"/>
      <c r="H90" s="442"/>
      <c r="I90" s="442"/>
      <c r="J90" s="443"/>
      <c r="K90" s="291">
        <f ca="1">Data!BH$120</f>
        <v>0</v>
      </c>
    </row>
    <row r="91" spans="1:11" ht="54" customHeight="1" x14ac:dyDescent="0.2">
      <c r="A91" s="93" t="s">
        <v>70</v>
      </c>
      <c r="B91" s="53"/>
      <c r="C91" s="112" t="str">
        <f>'Client 1'!C57</f>
        <v>OD4</v>
      </c>
      <c r="D91" s="441" t="str">
        <f>'Client 1'!D57</f>
        <v xml:space="preserve">Are outcome measures completed as required (if applicable)?  (For CYF/TAY: Child and Adolescent Needs and Strengths (CANS) and Pediatric Symptoms Checklist 35 (PSC-35), for AOA: RMQ, IMR, MORS, LOCUS) </v>
      </c>
      <c r="E91" s="442"/>
      <c r="F91" s="442"/>
      <c r="G91" s="442"/>
      <c r="H91" s="442"/>
      <c r="I91" s="442"/>
      <c r="J91" s="443"/>
      <c r="K91" s="291">
        <f ca="1">Data!BI$120</f>
        <v>0</v>
      </c>
    </row>
    <row r="92" spans="1:11" ht="34.5" customHeight="1" x14ac:dyDescent="0.2">
      <c r="A92" s="93" t="s">
        <v>69</v>
      </c>
      <c r="B92" s="53"/>
      <c r="C92" s="112" t="str">
        <f>'Client 1'!C58</f>
        <v>OD4a</v>
      </c>
      <c r="D92" s="441" t="str">
        <f>'Client 1'!D58</f>
        <v>For CYF/TAY programs only. Any CANS outcome with a Need rating of "2 or 3" has supporting indicators referencing the BHA.</v>
      </c>
      <c r="E92" s="442"/>
      <c r="F92" s="442"/>
      <c r="G92" s="442"/>
      <c r="H92" s="442"/>
      <c r="I92" s="442"/>
      <c r="J92" s="443"/>
      <c r="K92" s="291">
        <f ca="1">Data!BJ$120</f>
        <v>0</v>
      </c>
    </row>
    <row r="93" spans="1:11" ht="30" customHeight="1" x14ac:dyDescent="0.2">
      <c r="A93" s="93" t="s">
        <v>70</v>
      </c>
      <c r="B93" s="53"/>
      <c r="C93" s="112" t="str">
        <f>'Client 1'!C59</f>
        <v>OD5</v>
      </c>
      <c r="D93" s="441" t="str">
        <f>'Client 1'!D59</f>
        <v xml:space="preserve">Most recent UM/UR documentation requirements (UR/UM requests, Authorization forms) are completed within timelines as required, if applicable. </v>
      </c>
      <c r="E93" s="442"/>
      <c r="F93" s="442"/>
      <c r="G93" s="442"/>
      <c r="H93" s="442"/>
      <c r="I93" s="442"/>
      <c r="J93" s="443"/>
      <c r="K93" s="291">
        <f ca="1">Data!BK$120</f>
        <v>0</v>
      </c>
    </row>
    <row r="94" spans="1:11" ht="34.5" customHeight="1" x14ac:dyDescent="0.2">
      <c r="A94" s="93"/>
      <c r="B94" s="53"/>
      <c r="C94" s="112" t="str">
        <f>'Client 1'!C60</f>
        <v>OD6</v>
      </c>
      <c r="D94" s="441" t="str">
        <f>'Client 1'!D60</f>
        <v>Do the MHP records include a copy of the client's Transition of Care Tool, if applicable?</v>
      </c>
      <c r="E94" s="442"/>
      <c r="F94" s="442"/>
      <c r="G94" s="442"/>
      <c r="H94" s="442"/>
      <c r="I94" s="442"/>
      <c r="J94" s="443"/>
      <c r="K94" s="291">
        <f>Data!BL$120</f>
        <v>0</v>
      </c>
    </row>
    <row r="95" spans="1:11" ht="23.25" customHeight="1" x14ac:dyDescent="0.2">
      <c r="A95" s="93" t="s">
        <v>76</v>
      </c>
      <c r="B95" s="53"/>
      <c r="C95" s="109"/>
      <c r="D95" s="466" t="s">
        <v>75</v>
      </c>
      <c r="E95" s="467"/>
      <c r="F95" s="467"/>
      <c r="G95" s="467"/>
      <c r="H95" s="467"/>
      <c r="I95" s="467"/>
      <c r="J95" s="468"/>
      <c r="K95" s="290"/>
    </row>
    <row r="96" spans="1:11" ht="33.75" customHeight="1" x14ac:dyDescent="0.2">
      <c r="C96" s="110" t="str">
        <f>'Client 1'!C64</f>
        <v>SS1</v>
      </c>
      <c r="D96" s="445" t="str">
        <f>'Client 1'!D64</f>
        <v xml:space="preserve">If client receives TCM, is there a completed care plan documented within the client record? </v>
      </c>
      <c r="E96" s="446"/>
      <c r="F96" s="446"/>
      <c r="G96" s="446"/>
      <c r="H96" s="446"/>
      <c r="I96" s="446"/>
      <c r="J96" s="447"/>
      <c r="K96" s="291">
        <f ca="1">Data!BN$120</f>
        <v>0</v>
      </c>
    </row>
    <row r="97" spans="1:11" ht="54" customHeight="1" x14ac:dyDescent="0.2">
      <c r="A97" s="93" t="s">
        <v>70</v>
      </c>
      <c r="C97" s="110" t="str">
        <f>'Client 1'!C65</f>
        <v>SS2</v>
      </c>
      <c r="D97" s="445" t="str">
        <f>'Client 1'!D65</f>
        <v>If client receives Peer Support Services (PSS) services from a Certified Peer Support Specialist, is there a completed care plan documented within the client record?</v>
      </c>
      <c r="E97" s="446"/>
      <c r="F97" s="446"/>
      <c r="G97" s="446"/>
      <c r="H97" s="446"/>
      <c r="I97" s="446"/>
      <c r="J97" s="447"/>
      <c r="K97" s="291">
        <f ca="1">Data!BO$120</f>
        <v>0</v>
      </c>
    </row>
    <row r="98" spans="1:11" ht="54" customHeight="1" x14ac:dyDescent="0.2">
      <c r="A98" s="93" t="s">
        <v>78</v>
      </c>
      <c r="C98" s="110" t="str">
        <f>'Client 1'!C66</f>
        <v>SS3</v>
      </c>
      <c r="D98" s="445" t="str">
        <f>'Client 1'!D66</f>
        <v>If client has an open CWS case, Eligibility for PWB and Enhanced Services form is completed in CCBH and documentation of Subclass or Class status is indicated and the form is updated within required timelines.  (CYF programs only)</v>
      </c>
      <c r="E98" s="446"/>
      <c r="F98" s="446"/>
      <c r="G98" s="446"/>
      <c r="H98" s="446"/>
      <c r="I98" s="446"/>
      <c r="J98" s="447"/>
      <c r="K98" s="291">
        <f ca="1">Data!BP$120</f>
        <v>0</v>
      </c>
    </row>
    <row r="99" spans="1:11" ht="40.5" customHeight="1" x14ac:dyDescent="0.2">
      <c r="A99" s="93" t="s">
        <v>76</v>
      </c>
      <c r="B99" s="53"/>
      <c r="C99" s="110" t="str">
        <f>'Client 1'!C67</f>
        <v>SS3a</v>
      </c>
      <c r="D99" s="445" t="str">
        <f>'Client 1'!D67</f>
        <v>If client has an open CWS case, the PWB identifier for Subclass or Class is indicated in Client Categories Maintenance. (CYF only)</v>
      </c>
      <c r="E99" s="446"/>
      <c r="F99" s="446"/>
      <c r="G99" s="446"/>
      <c r="H99" s="446"/>
      <c r="I99" s="446"/>
      <c r="J99" s="447"/>
      <c r="K99" s="291">
        <f ca="1">Data!BQ$120</f>
        <v>0</v>
      </c>
    </row>
    <row r="100" spans="1:11" ht="42.75" customHeight="1" x14ac:dyDescent="0.2">
      <c r="A100" s="93" t="s">
        <v>79</v>
      </c>
      <c r="B100" s="53"/>
      <c r="C100" s="110" t="s">
        <v>463</v>
      </c>
      <c r="D100" s="445" t="s">
        <v>464</v>
      </c>
      <c r="E100" s="460"/>
      <c r="F100" s="460"/>
      <c r="G100" s="460"/>
      <c r="H100" s="460"/>
      <c r="I100" s="460"/>
      <c r="J100" s="461"/>
      <c r="K100" s="291">
        <f ca="1">Data!BR$120</f>
        <v>0</v>
      </c>
    </row>
    <row r="101" spans="1:11" ht="55.5" customHeight="1" x14ac:dyDescent="0.2">
      <c r="A101" s="93" t="s">
        <v>81</v>
      </c>
      <c r="C101" s="110" t="str">
        <f>'Client 1'!C69</f>
        <v>SS5</v>
      </c>
      <c r="D101" s="445" t="str">
        <f>'Client 1'!D69</f>
        <v>If receiving ICC and/or IHBS services does the client record contain documentation that a Child and Family Team (CFT) meeting has occurred within 30 days of intake and at a minimum every 90 days thereafter?
   **If CFT meeting timelines are not met, does chart include documentation of reasons for postponement and efforts to reschedule CFT meetings? (CYF only)</v>
      </c>
      <c r="E101" s="446"/>
      <c r="F101" s="446"/>
      <c r="G101" s="446"/>
      <c r="H101" s="446"/>
      <c r="I101" s="446"/>
      <c r="J101" s="447"/>
      <c r="K101" s="291">
        <f>Data!BS$120</f>
        <v>0</v>
      </c>
    </row>
    <row r="102" spans="1:11" ht="23.25" customHeight="1" x14ac:dyDescent="0.2">
      <c r="A102" s="93" t="s">
        <v>69</v>
      </c>
      <c r="B102" s="53"/>
      <c r="C102" s="109"/>
      <c r="D102" s="454" t="s">
        <v>77</v>
      </c>
      <c r="E102" s="455"/>
      <c r="F102" s="455"/>
      <c r="G102" s="455"/>
      <c r="H102" s="455"/>
      <c r="I102" s="455"/>
      <c r="J102" s="456"/>
      <c r="K102" s="290"/>
    </row>
    <row r="103" spans="1:11" ht="39" customHeight="1" x14ac:dyDescent="0.2">
      <c r="A103" s="93" t="s">
        <v>80</v>
      </c>
      <c r="B103" s="53"/>
      <c r="C103" s="113" t="str">
        <f>'Client 1'!C73</f>
        <v xml:space="preserve">B1
</v>
      </c>
      <c r="D103" s="457" t="str">
        <f>'Client 1'!D73</f>
        <v>Is there any evidence of fraud, waste, or abuse? If yes, identify the claims in the Services Addendum.</v>
      </c>
      <c r="E103" s="458"/>
      <c r="F103" s="458"/>
      <c r="G103" s="458"/>
      <c r="H103" s="458"/>
      <c r="I103" s="458"/>
      <c r="J103" s="459"/>
      <c r="K103" s="328">
        <f ca="1">Data!BU$120</f>
        <v>0</v>
      </c>
    </row>
    <row r="104" spans="1:11" ht="150.75" customHeight="1" x14ac:dyDescent="0.2">
      <c r="A104" s="93" t="s">
        <v>73</v>
      </c>
      <c r="C104" s="113" t="str">
        <f>'Client 1'!C74</f>
        <v xml:space="preserve">B2
</v>
      </c>
      <c r="D104" s="457" t="str">
        <f>'Client 1'!D74</f>
        <v>Were any services provided claimed inaccurately while the client was in a Medi-Cal lock-out place of service (e.g., psych hospitalization, Institution for Mental Disease (IMD) juvenile hall*, jail)? If yes, identify the services in the Services Addendum. 
Note: For dependent minors in juvenile detention, Medi-Cal services can be provided prior to disposition, if there is a plan to make the minor’s stay temporary (CCR, title 22, section 50273(c)(5)) and after adjudication for release into community (CCR, title 22, section 50273(c)(1)). 
CCR, title 9, chapter 11, section 1840.312(g-h); CCR, title 9, chapter 11, sections 1840.3601840.374; Code of Federal Regulations (CFR), title 42, part 435, sections 435.1008 435.1009; CFR, title 42, section 440.168; CCR, title 22, section 50273(a)(1-9); CCR, title 22, section 51458.1(a)(8); United States Code (USC), title 42, chapter 7, section 1396d, Code of Federal Regulations, title 42, sections 435.1009 – 435.1010; CCR, title 22, section 50273(a)(5-8), (c)(1, 5); title 22, section 51458.1(a)(8).</v>
      </c>
      <c r="E104" s="458"/>
      <c r="F104" s="458"/>
      <c r="G104" s="458"/>
      <c r="H104" s="458"/>
      <c r="I104" s="458"/>
      <c r="J104" s="459"/>
      <c r="K104" s="291">
        <f ca="1">Data!BV$120</f>
        <v>0</v>
      </c>
    </row>
    <row r="105" spans="1:11" ht="70.5" customHeight="1" x14ac:dyDescent="0.2">
      <c r="A105" s="93" t="s">
        <v>76</v>
      </c>
      <c r="B105" s="53"/>
      <c r="C105" s="113" t="str">
        <f>'Client 1'!C75</f>
        <v xml:space="preserve">B3
</v>
      </c>
      <c r="D105" s="457" t="str">
        <f>'Client 1'!D75</f>
        <v xml:space="preserve">Is there documentation of a valid allowable service for every claim billed within the review period? (ie: no-show/cancelled appointment, no progress note, missing daily note if required). If no, identify the claims in the Services Addendum.
CCR, title 9, section 1840.112(b)(3); BHIN 22-019; MHP Contract, Exhibit E, Attachment 1); CCR, title 22, section 51458.1(a)(3)(7). </v>
      </c>
      <c r="E105" s="458"/>
      <c r="F105" s="458"/>
      <c r="G105" s="458"/>
      <c r="H105" s="458"/>
      <c r="I105" s="458"/>
      <c r="J105" s="459"/>
      <c r="K105" s="291">
        <f ca="1">Data!BW$120</f>
        <v>0</v>
      </c>
    </row>
    <row r="106" spans="1:11" ht="176.25" customHeight="1" x14ac:dyDescent="0.2">
      <c r="A106" s="93" t="s">
        <v>81</v>
      </c>
      <c r="C106" s="113" t="str">
        <f>'Client 1'!C76</f>
        <v xml:space="preserve">B4
</v>
      </c>
      <c r="D106" s="457" t="str">
        <f>'Client 1'!D76</f>
        <v xml:space="preserve">Does the date of service listed on the (paper) progress notes match the date of service listed on all claims? If no, identify the claims in the Services Addendum.
**Recoupment is limited to examples where the program is unable to provide other documented evidence that the progress note with the “mismatched” date actually corresponds to the claim in question, and/or was due to a clerical error.** 
CCR title 9, sections 1840.316 - 1840.322, and 1810.440(c), MHP Contract; CCR, title 9, section 1840.112(b)(3); CCR, title 22, section 51458.1(a)(3). </v>
      </c>
      <c r="E106" s="458"/>
      <c r="F106" s="458"/>
      <c r="G106" s="458"/>
      <c r="H106" s="458"/>
      <c r="I106" s="458"/>
      <c r="J106" s="459"/>
      <c r="K106" s="291">
        <f ca="1">Data!BX$120</f>
        <v>0</v>
      </c>
    </row>
    <row r="107" spans="1:11" ht="114.75" customHeight="1" x14ac:dyDescent="0.2">
      <c r="A107" s="93" t="s">
        <v>81</v>
      </c>
      <c r="B107" s="53"/>
      <c r="C107" s="113" t="str">
        <f>'Client 1'!C77</f>
        <v xml:space="preserve">B5
</v>
      </c>
      <c r="D107" s="457" t="str">
        <f>'Client 1'!D77</f>
        <v>For all progress notes, did the service that was claimed (procedure code) match the service documented in the progress note? If no, identify the claims in the Services Addendum.
**Results in recoupment only when there is an overbilling** CCR title 9, sections 1840.316 - 1840.322, and 1810.440(c), MHP Contract; CCR, title 9, section 1840.112(b)(3); CCR, title 22, section 51458.1(a)(3).</v>
      </c>
      <c r="E107" s="458"/>
      <c r="F107" s="458"/>
      <c r="G107" s="458"/>
      <c r="H107" s="458"/>
      <c r="I107" s="458"/>
      <c r="J107" s="459"/>
      <c r="K107" s="291">
        <f ca="1">Data!BY$120</f>
        <v>0</v>
      </c>
    </row>
    <row r="108" spans="1:11" ht="78.75" customHeight="1" x14ac:dyDescent="0.2">
      <c r="C108" s="113" t="str">
        <f>'Client 1'!C78</f>
        <v xml:space="preserve">B6
</v>
      </c>
      <c r="D108" s="457" t="str">
        <f>'Client 1'!D78</f>
        <v>Do all units of time for services match the amount of time documented in the progress note? If no, identify the claims in the Services Addendum.
**Recoupment is limited to mismatches that result in overbilling.**  CCR title 9, sections 1840.316 - 1840.322, and 1810.440(c); MHP Contract; CCR, title 9, section 1840.112(b)(3); CCR, title 22, section 51458.1(a)(3).</v>
      </c>
      <c r="E108" s="458"/>
      <c r="F108" s="458"/>
      <c r="G108" s="458"/>
      <c r="H108" s="458"/>
      <c r="I108" s="458"/>
      <c r="J108" s="459"/>
      <c r="K108" s="291">
        <f ca="1">Data!BZ$120</f>
        <v>0</v>
      </c>
    </row>
    <row r="109" spans="1:11" ht="57" customHeight="1" x14ac:dyDescent="0.2">
      <c r="C109" s="113" t="str">
        <f>'Client 1'!C79</f>
        <v xml:space="preserve">B7
</v>
      </c>
      <c r="D109" s="445" t="str">
        <f>'Client 1'!D79</f>
        <v>Do all progress notes include required elements (date of service, service type, person contacted, location of service, contact type, evidence based practice (EBP), appointment type)?</v>
      </c>
      <c r="E109" s="446"/>
      <c r="F109" s="446"/>
      <c r="G109" s="446"/>
      <c r="H109" s="446"/>
      <c r="I109" s="446"/>
      <c r="J109" s="447"/>
      <c r="K109" s="291">
        <f ca="1">Data!CA$120</f>
        <v>0</v>
      </c>
    </row>
    <row r="110" spans="1:11" ht="69" customHeight="1" x14ac:dyDescent="0.2">
      <c r="C110" s="113" t="str">
        <f>'Client 1'!C80</f>
        <v xml:space="preserve">B8
</v>
      </c>
      <c r="D110" s="457" t="str">
        <f>'Client 1'!D80</f>
        <v xml:space="preserve">Services provided involving more than one server, documentation evidences the clinically compelling or  medically necessary reason for more than one server and the unique clinical therapeutic intervention of each server. (Applies to group and individual services).
CCR, title 9, section 1840.316(b)(2); Medi-Cal Billing Manual, Chapter 7, section 7.5.5; CCR, title 22, section 51458.1(a)(3). </v>
      </c>
      <c r="E110" s="458"/>
      <c r="F110" s="458"/>
      <c r="G110" s="458"/>
      <c r="H110" s="458"/>
      <c r="I110" s="458"/>
      <c r="J110" s="459"/>
      <c r="K110" s="291">
        <f>Data!CB$120</f>
        <v>0</v>
      </c>
    </row>
    <row r="111" spans="1:11" ht="82.5" customHeight="1" x14ac:dyDescent="0.2">
      <c r="C111" s="113" t="str">
        <f>'Client 1'!C81</f>
        <v xml:space="preserve">B9
</v>
      </c>
      <c r="D111" s="457" t="str">
        <f>'Client 1'!D81</f>
        <v>Are all documented services within the scope of practice of the provider? If no, identify the claims in the Services Addendum.
CCR, title 9, section 1840.314(d); BHIN 22-019</v>
      </c>
      <c r="E111" s="458"/>
      <c r="F111" s="458"/>
      <c r="G111" s="458"/>
      <c r="H111" s="458"/>
      <c r="I111" s="458"/>
      <c r="J111" s="459"/>
      <c r="K111" s="291">
        <f>Data!CC$120</f>
        <v>0</v>
      </c>
    </row>
    <row r="112" spans="1:11" ht="131.25" customHeight="1" x14ac:dyDescent="0.2">
      <c r="C112" s="113" t="str">
        <f>'Client 1'!C82</f>
        <v xml:space="preserve">B10
</v>
      </c>
      <c r="D112" s="457" t="str">
        <f>'Client 1'!D82</f>
        <v xml:space="preserve">Were all services billable according to Title 9; with no services claimed that were solely academic, vocational, recreation, socialization, transportation, clerical or payee related, no claiming time for no-shows or nonbillable activities? If no, identify the claims in the Services Addendum.
CCR, title 9, sections 1810.247, 1810.345(a), 1810.355(a)(2), 1830.205(b)(3), 1840.312(a-f) CCR, title 22, section 51458.1(a)(7). </v>
      </c>
      <c r="E112" s="458"/>
      <c r="F112" s="458"/>
      <c r="G112" s="458"/>
      <c r="H112" s="458"/>
      <c r="I112" s="458"/>
      <c r="J112" s="459"/>
      <c r="K112" s="291">
        <f>Data!CD$120</f>
        <v>0</v>
      </c>
    </row>
    <row r="113" spans="3:11" ht="15" x14ac:dyDescent="0.2">
      <c r="J113" s="1"/>
    </row>
    <row r="114" spans="3:11" ht="15" x14ac:dyDescent="0.2">
      <c r="C114" s="32"/>
      <c r="E114" s="12"/>
      <c r="F114" s="12"/>
      <c r="G114" s="12"/>
      <c r="H114" s="12"/>
      <c r="I114" s="12"/>
      <c r="J114" s="12"/>
      <c r="K114" s="12"/>
    </row>
    <row r="115" spans="3:11" x14ac:dyDescent="0.2">
      <c r="C115" s="12"/>
      <c r="E115" s="12"/>
      <c r="F115" s="12"/>
      <c r="G115" s="12"/>
      <c r="H115" s="12"/>
      <c r="I115" s="12"/>
      <c r="J115" s="12"/>
      <c r="K115" s="12"/>
    </row>
    <row r="116" spans="3:11" x14ac:dyDescent="0.2">
      <c r="C116" s="12"/>
      <c r="E116" s="12"/>
      <c r="F116" s="12"/>
      <c r="G116" s="12"/>
      <c r="H116" s="12"/>
      <c r="I116" s="12"/>
      <c r="J116" s="12"/>
      <c r="K116" s="12"/>
    </row>
    <row r="117" spans="3:11" x14ac:dyDescent="0.2">
      <c r="C117" s="12"/>
      <c r="E117" s="12"/>
      <c r="F117" s="12"/>
      <c r="G117" s="12"/>
      <c r="H117" s="12"/>
      <c r="I117" s="12"/>
      <c r="J117" s="12"/>
      <c r="K117" s="12"/>
    </row>
    <row r="118" spans="3:11" x14ac:dyDescent="0.2">
      <c r="C118" s="12"/>
      <c r="E118" s="12"/>
      <c r="F118" s="12"/>
      <c r="G118" s="12"/>
      <c r="H118" s="12"/>
      <c r="I118" s="12"/>
      <c r="J118" s="12"/>
      <c r="K118" s="12"/>
    </row>
    <row r="119" spans="3:11" x14ac:dyDescent="0.2">
      <c r="C119" s="12"/>
      <c r="E119" s="12"/>
      <c r="F119" s="12"/>
      <c r="G119" s="12"/>
      <c r="H119" s="12"/>
      <c r="I119" s="12"/>
      <c r="J119" s="12"/>
      <c r="K119" s="12"/>
    </row>
    <row r="120" spans="3:11" x14ac:dyDescent="0.2">
      <c r="C120" s="12"/>
      <c r="E120" s="12"/>
      <c r="F120" s="12"/>
      <c r="G120" s="12"/>
      <c r="H120" s="12"/>
      <c r="I120" s="12"/>
      <c r="J120" s="12"/>
      <c r="K120" s="12"/>
    </row>
    <row r="121" spans="3:11" x14ac:dyDescent="0.2">
      <c r="C121" s="12"/>
      <c r="E121" s="12"/>
      <c r="F121" s="12"/>
      <c r="G121" s="12"/>
      <c r="H121" s="12"/>
      <c r="I121" s="12"/>
      <c r="J121" s="12"/>
      <c r="K121" s="12"/>
    </row>
    <row r="122" spans="3:11" x14ac:dyDescent="0.2">
      <c r="C122" s="12"/>
      <c r="E122" s="12"/>
      <c r="F122" s="12"/>
      <c r="G122" s="12"/>
      <c r="H122" s="12"/>
      <c r="I122" s="12"/>
      <c r="J122" s="12"/>
      <c r="K122" s="12"/>
    </row>
    <row r="123" spans="3:11" x14ac:dyDescent="0.2">
      <c r="C123" s="12"/>
      <c r="E123" s="12"/>
      <c r="F123" s="12"/>
      <c r="G123" s="12"/>
      <c r="H123" s="12"/>
      <c r="I123" s="12"/>
      <c r="J123" s="12"/>
      <c r="K123" s="12"/>
    </row>
    <row r="124" spans="3:11" x14ac:dyDescent="0.2">
      <c r="C124" s="12"/>
      <c r="E124" s="12"/>
      <c r="F124" s="12"/>
      <c r="G124" s="12"/>
      <c r="H124" s="12"/>
      <c r="I124" s="12"/>
      <c r="J124" s="12"/>
      <c r="K124" s="12"/>
    </row>
    <row r="125" spans="3:11" x14ac:dyDescent="0.2">
      <c r="C125" s="12"/>
      <c r="E125" s="12"/>
      <c r="F125" s="12"/>
      <c r="G125" s="12"/>
      <c r="H125" s="12"/>
      <c r="I125" s="12"/>
      <c r="J125" s="12"/>
      <c r="K125" s="12"/>
    </row>
    <row r="126" spans="3:11" x14ac:dyDescent="0.2">
      <c r="C126" s="12"/>
      <c r="E126" s="12"/>
      <c r="F126" s="12"/>
      <c r="G126" s="12"/>
      <c r="H126" s="12"/>
      <c r="I126" s="12"/>
      <c r="J126" s="12"/>
      <c r="K126" s="12"/>
    </row>
    <row r="127" spans="3:11" x14ac:dyDescent="0.2">
      <c r="C127" s="12"/>
      <c r="E127" s="12"/>
      <c r="F127" s="12"/>
      <c r="G127" s="12"/>
      <c r="H127" s="12"/>
      <c r="I127" s="12"/>
      <c r="J127" s="12"/>
      <c r="K127" s="12"/>
    </row>
    <row r="128" spans="3:11" x14ac:dyDescent="0.2">
      <c r="C128" s="12"/>
      <c r="E128" s="12"/>
      <c r="F128" s="12"/>
      <c r="G128" s="12"/>
      <c r="H128" s="12"/>
      <c r="I128" s="12"/>
      <c r="J128" s="12"/>
      <c r="K128" s="12"/>
    </row>
    <row r="129" spans="3:11" x14ac:dyDescent="0.2">
      <c r="C129" s="12"/>
      <c r="E129" s="12"/>
      <c r="F129" s="12"/>
      <c r="G129" s="12"/>
      <c r="H129" s="12"/>
      <c r="I129" s="12"/>
      <c r="J129" s="12"/>
      <c r="K129" s="12"/>
    </row>
    <row r="130" spans="3:11" x14ac:dyDescent="0.2">
      <c r="C130" s="12"/>
      <c r="E130" s="12"/>
      <c r="F130" s="12"/>
      <c r="G130" s="12"/>
      <c r="H130" s="12"/>
      <c r="I130" s="12"/>
      <c r="J130" s="12"/>
      <c r="K130" s="12"/>
    </row>
    <row r="131" spans="3:11" x14ac:dyDescent="0.2">
      <c r="C131" s="12"/>
      <c r="E131" s="12"/>
      <c r="F131" s="12"/>
      <c r="G131" s="12"/>
      <c r="H131" s="12"/>
      <c r="I131" s="12"/>
      <c r="J131" s="12"/>
      <c r="K131" s="12"/>
    </row>
    <row r="132" spans="3:11" x14ac:dyDescent="0.2">
      <c r="C132" s="12"/>
      <c r="E132" s="12"/>
      <c r="F132" s="12"/>
      <c r="G132" s="12"/>
      <c r="H132" s="12"/>
      <c r="I132" s="12"/>
      <c r="J132" s="12"/>
      <c r="K132" s="12"/>
    </row>
    <row r="133" spans="3:11" x14ac:dyDescent="0.2">
      <c r="C133" s="12"/>
      <c r="E133" s="12"/>
      <c r="F133" s="12"/>
      <c r="G133" s="12"/>
      <c r="H133" s="12"/>
      <c r="I133" s="12"/>
      <c r="J133" s="12"/>
      <c r="K133" s="12"/>
    </row>
    <row r="134" spans="3:11" x14ac:dyDescent="0.2">
      <c r="C134" s="12"/>
      <c r="E134" s="12"/>
      <c r="F134" s="12"/>
      <c r="G134" s="12"/>
      <c r="H134" s="12"/>
      <c r="I134" s="12"/>
      <c r="J134" s="12"/>
      <c r="K134" s="12"/>
    </row>
    <row r="135" spans="3:11" x14ac:dyDescent="0.2">
      <c r="C135" s="12"/>
      <c r="E135" s="12"/>
      <c r="F135" s="12"/>
      <c r="G135" s="12"/>
      <c r="H135" s="12"/>
      <c r="I135" s="12"/>
      <c r="J135" s="12"/>
      <c r="K135" s="12"/>
    </row>
    <row r="136" spans="3:11" x14ac:dyDescent="0.2">
      <c r="C136" s="12"/>
      <c r="E136" s="12"/>
      <c r="F136" s="12"/>
      <c r="G136" s="12"/>
      <c r="H136" s="12"/>
      <c r="I136" s="12"/>
      <c r="J136" s="12"/>
      <c r="K136" s="12"/>
    </row>
    <row r="137" spans="3:11" x14ac:dyDescent="0.2">
      <c r="C137" s="12"/>
      <c r="E137" s="12"/>
      <c r="F137" s="12"/>
      <c r="G137" s="12"/>
      <c r="H137" s="12"/>
      <c r="I137" s="12"/>
      <c r="J137" s="12"/>
      <c r="K137" s="12"/>
    </row>
    <row r="138" spans="3:11" x14ac:dyDescent="0.2">
      <c r="C138" s="12"/>
      <c r="E138" s="12"/>
      <c r="F138" s="12"/>
      <c r="G138" s="12"/>
      <c r="H138" s="12"/>
      <c r="I138" s="12"/>
      <c r="J138" s="12"/>
      <c r="K138" s="12"/>
    </row>
    <row r="139" spans="3:11" x14ac:dyDescent="0.2">
      <c r="C139" s="12"/>
      <c r="E139" s="12"/>
      <c r="F139" s="12"/>
      <c r="G139" s="12"/>
      <c r="H139" s="12"/>
      <c r="I139" s="12"/>
      <c r="J139" s="12"/>
      <c r="K139" s="12"/>
    </row>
    <row r="140" spans="3:11" x14ac:dyDescent="0.2">
      <c r="C140" s="12"/>
      <c r="E140" s="12"/>
      <c r="F140" s="12"/>
      <c r="G140" s="12"/>
      <c r="H140" s="12"/>
      <c r="I140" s="12"/>
      <c r="J140" s="12"/>
      <c r="K140" s="12"/>
    </row>
    <row r="141" spans="3:11" x14ac:dyDescent="0.2">
      <c r="C141" s="12"/>
      <c r="E141" s="12"/>
      <c r="F141" s="12"/>
      <c r="G141" s="12"/>
      <c r="H141" s="12"/>
      <c r="I141" s="12"/>
      <c r="J141" s="12"/>
      <c r="K141" s="12"/>
    </row>
    <row r="142" spans="3:11" x14ac:dyDescent="0.2">
      <c r="C142" s="12"/>
      <c r="E142" s="12"/>
      <c r="F142" s="12"/>
      <c r="G142" s="12"/>
      <c r="H142" s="12"/>
      <c r="I142" s="12"/>
      <c r="J142" s="12"/>
      <c r="K142" s="12"/>
    </row>
    <row r="143" spans="3:11" x14ac:dyDescent="0.2">
      <c r="C143" s="12"/>
      <c r="E143" s="12"/>
      <c r="F143" s="12"/>
      <c r="G143" s="12"/>
      <c r="H143" s="12"/>
      <c r="I143" s="12"/>
      <c r="J143" s="12"/>
      <c r="K143" s="12"/>
    </row>
    <row r="144" spans="3:11" x14ac:dyDescent="0.2">
      <c r="C144" s="12"/>
      <c r="E144" s="12"/>
      <c r="F144" s="12"/>
      <c r="G144" s="12"/>
      <c r="H144" s="12"/>
      <c r="I144" s="12"/>
      <c r="J144" s="12"/>
      <c r="K144" s="12"/>
    </row>
    <row r="145" spans="3:11" x14ac:dyDescent="0.2">
      <c r="C145" s="12"/>
      <c r="E145" s="12"/>
      <c r="F145" s="12"/>
      <c r="G145" s="12"/>
      <c r="H145" s="12"/>
      <c r="I145" s="12"/>
      <c r="J145" s="12"/>
      <c r="K145" s="12"/>
    </row>
    <row r="146" spans="3:11" x14ac:dyDescent="0.2">
      <c r="C146" s="12"/>
      <c r="E146" s="12"/>
      <c r="F146" s="12"/>
      <c r="G146" s="12"/>
      <c r="H146" s="12"/>
      <c r="I146" s="12"/>
      <c r="J146" s="12"/>
      <c r="K146" s="12"/>
    </row>
    <row r="147" spans="3:11" x14ac:dyDescent="0.2">
      <c r="C147" s="12"/>
      <c r="E147" s="12"/>
      <c r="F147" s="12"/>
      <c r="G147" s="12"/>
      <c r="H147" s="12"/>
      <c r="I147" s="12"/>
      <c r="J147" s="12"/>
      <c r="K147" s="12"/>
    </row>
    <row r="148" spans="3:11" x14ac:dyDescent="0.2">
      <c r="C148" s="12"/>
      <c r="E148" s="12"/>
      <c r="F148" s="12"/>
      <c r="G148" s="12"/>
      <c r="H148" s="12"/>
      <c r="I148" s="12"/>
      <c r="J148" s="12"/>
      <c r="K148" s="12"/>
    </row>
    <row r="149" spans="3:11" x14ac:dyDescent="0.2">
      <c r="C149" s="12"/>
      <c r="E149" s="12"/>
      <c r="F149" s="12"/>
      <c r="G149" s="12"/>
      <c r="H149" s="12"/>
      <c r="I149" s="12"/>
      <c r="J149" s="12"/>
      <c r="K149" s="12"/>
    </row>
    <row r="150" spans="3:11" x14ac:dyDescent="0.2">
      <c r="C150" s="12"/>
      <c r="E150" s="12"/>
      <c r="F150" s="12"/>
      <c r="G150" s="12"/>
      <c r="H150" s="12"/>
      <c r="I150" s="12"/>
      <c r="J150" s="12"/>
      <c r="K150" s="12"/>
    </row>
    <row r="151" spans="3:11" x14ac:dyDescent="0.2">
      <c r="C151" s="12"/>
      <c r="E151" s="12"/>
      <c r="F151" s="12"/>
      <c r="G151" s="12"/>
      <c r="H151" s="12"/>
      <c r="I151" s="12"/>
      <c r="J151" s="12"/>
      <c r="K151" s="12"/>
    </row>
    <row r="152" spans="3:11" x14ac:dyDescent="0.2">
      <c r="C152" s="12"/>
      <c r="E152" s="12"/>
      <c r="F152" s="12"/>
      <c r="G152" s="12"/>
      <c r="H152" s="12"/>
      <c r="I152" s="12"/>
      <c r="J152" s="12"/>
      <c r="K152" s="12"/>
    </row>
    <row r="153" spans="3:11" x14ac:dyDescent="0.2">
      <c r="C153" s="12"/>
      <c r="E153" s="12"/>
      <c r="F153" s="12"/>
      <c r="G153" s="12"/>
      <c r="H153" s="12"/>
      <c r="I153" s="12"/>
      <c r="J153" s="12"/>
      <c r="K153" s="12"/>
    </row>
    <row r="154" spans="3:11" x14ac:dyDescent="0.2">
      <c r="C154" s="12"/>
      <c r="E154" s="12"/>
      <c r="F154" s="12"/>
      <c r="G154" s="12"/>
      <c r="H154" s="12"/>
      <c r="I154" s="12"/>
      <c r="J154" s="12"/>
      <c r="K154" s="12"/>
    </row>
    <row r="155" spans="3:11" x14ac:dyDescent="0.2">
      <c r="C155" s="12"/>
      <c r="E155" s="12"/>
      <c r="F155" s="12"/>
      <c r="G155" s="12"/>
      <c r="H155" s="12"/>
      <c r="I155" s="12"/>
      <c r="J155" s="12"/>
      <c r="K155" s="12"/>
    </row>
    <row r="156" spans="3:11" x14ac:dyDescent="0.2">
      <c r="C156" s="12"/>
      <c r="E156" s="12"/>
      <c r="F156" s="12"/>
      <c r="G156" s="12"/>
      <c r="H156" s="12"/>
      <c r="I156" s="12"/>
      <c r="J156" s="12"/>
      <c r="K156" s="12"/>
    </row>
    <row r="157" spans="3:11" x14ac:dyDescent="0.2">
      <c r="C157" s="12"/>
      <c r="E157" s="12"/>
      <c r="F157" s="12"/>
      <c r="G157" s="12"/>
      <c r="H157" s="12"/>
      <c r="I157" s="12"/>
      <c r="J157" s="12"/>
      <c r="K157" s="12"/>
    </row>
    <row r="158" spans="3:11" x14ac:dyDescent="0.2">
      <c r="C158" s="12"/>
      <c r="E158" s="12"/>
      <c r="F158" s="12"/>
      <c r="G158" s="12"/>
      <c r="H158" s="12"/>
      <c r="I158" s="12"/>
      <c r="J158" s="12"/>
      <c r="K158" s="12"/>
    </row>
    <row r="159" spans="3:11" x14ac:dyDescent="0.2">
      <c r="C159" s="12"/>
      <c r="E159" s="12"/>
      <c r="F159" s="12"/>
      <c r="G159" s="12"/>
      <c r="H159" s="12"/>
      <c r="I159" s="12"/>
      <c r="J159" s="12"/>
      <c r="K159" s="12"/>
    </row>
    <row r="160" spans="3:11" x14ac:dyDescent="0.2">
      <c r="C160" s="12"/>
      <c r="E160" s="12"/>
      <c r="F160" s="12"/>
      <c r="G160" s="12"/>
      <c r="H160" s="12"/>
      <c r="I160" s="12"/>
      <c r="J160" s="12"/>
      <c r="K160" s="12"/>
    </row>
    <row r="161" spans="3:11" x14ac:dyDescent="0.2">
      <c r="C161" s="12"/>
      <c r="E161" s="12"/>
      <c r="F161" s="12"/>
      <c r="G161" s="12"/>
      <c r="H161" s="12"/>
      <c r="I161" s="12"/>
      <c r="J161" s="12"/>
      <c r="K161" s="12"/>
    </row>
    <row r="162" spans="3:11" x14ac:dyDescent="0.2">
      <c r="C162" s="12"/>
      <c r="E162" s="12"/>
      <c r="F162" s="12"/>
      <c r="G162" s="12"/>
      <c r="H162" s="12"/>
      <c r="I162" s="12"/>
      <c r="J162" s="12"/>
      <c r="K162" s="12"/>
    </row>
    <row r="163" spans="3:11" x14ac:dyDescent="0.2">
      <c r="C163" s="12"/>
      <c r="E163" s="12"/>
      <c r="F163" s="12"/>
      <c r="G163" s="12"/>
      <c r="H163" s="12"/>
      <c r="I163" s="12"/>
      <c r="J163" s="12"/>
      <c r="K163" s="12"/>
    </row>
    <row r="164" spans="3:11" x14ac:dyDescent="0.2">
      <c r="C164" s="12"/>
      <c r="E164" s="12"/>
      <c r="F164" s="12"/>
      <c r="G164" s="12"/>
      <c r="H164" s="12"/>
      <c r="I164" s="12"/>
      <c r="J164" s="12"/>
      <c r="K164" s="12"/>
    </row>
    <row r="165" spans="3:11" x14ac:dyDescent="0.2">
      <c r="C165" s="12"/>
      <c r="E165" s="12"/>
      <c r="F165" s="12"/>
      <c r="G165" s="12"/>
      <c r="H165" s="12"/>
      <c r="I165" s="12"/>
      <c r="J165" s="12"/>
      <c r="K165" s="12"/>
    </row>
    <row r="166" spans="3:11" x14ac:dyDescent="0.2">
      <c r="C166" s="12"/>
      <c r="E166" s="12"/>
      <c r="F166" s="12"/>
      <c r="G166" s="12"/>
      <c r="H166" s="12"/>
      <c r="I166" s="12"/>
      <c r="J166" s="12"/>
      <c r="K166" s="12"/>
    </row>
    <row r="167" spans="3:11" x14ac:dyDescent="0.2">
      <c r="C167" s="12"/>
      <c r="E167" s="12"/>
      <c r="F167" s="12"/>
      <c r="G167" s="12"/>
      <c r="H167" s="12"/>
      <c r="I167" s="12"/>
      <c r="J167" s="12"/>
      <c r="K167" s="12"/>
    </row>
    <row r="168" spans="3:11" x14ac:dyDescent="0.2">
      <c r="C168" s="12"/>
      <c r="E168" s="12"/>
      <c r="F168" s="12"/>
      <c r="G168" s="12"/>
      <c r="H168" s="12"/>
      <c r="I168" s="12"/>
      <c r="J168" s="12"/>
      <c r="K168" s="12"/>
    </row>
    <row r="169" spans="3:11" x14ac:dyDescent="0.2">
      <c r="C169" s="12"/>
      <c r="E169" s="12"/>
      <c r="F169" s="12"/>
      <c r="G169" s="12"/>
      <c r="H169" s="12"/>
      <c r="I169" s="12"/>
      <c r="J169" s="12"/>
      <c r="K169" s="12"/>
    </row>
    <row r="170" spans="3:11" x14ac:dyDescent="0.2">
      <c r="C170" s="12"/>
      <c r="E170" s="12"/>
      <c r="F170" s="12"/>
      <c r="G170" s="12"/>
      <c r="H170" s="12"/>
      <c r="I170" s="12"/>
      <c r="J170" s="12"/>
      <c r="K170" s="12"/>
    </row>
    <row r="171" spans="3:11" x14ac:dyDescent="0.2">
      <c r="C171" s="12"/>
      <c r="E171" s="12"/>
      <c r="F171" s="12"/>
      <c r="G171" s="12"/>
      <c r="H171" s="12"/>
      <c r="I171" s="12"/>
      <c r="J171" s="12"/>
      <c r="K171" s="12"/>
    </row>
    <row r="172" spans="3:11" x14ac:dyDescent="0.2">
      <c r="C172" s="12"/>
      <c r="E172" s="12"/>
      <c r="F172" s="12"/>
      <c r="G172" s="12"/>
      <c r="H172" s="12"/>
      <c r="I172" s="12"/>
      <c r="J172" s="12"/>
      <c r="K172" s="12"/>
    </row>
    <row r="173" spans="3:11" x14ac:dyDescent="0.2">
      <c r="C173" s="12"/>
      <c r="E173" s="12"/>
      <c r="F173" s="12"/>
      <c r="G173" s="12"/>
      <c r="H173" s="12"/>
      <c r="I173" s="12"/>
      <c r="J173" s="12"/>
      <c r="K173" s="12"/>
    </row>
    <row r="174" spans="3:11" x14ac:dyDescent="0.2">
      <c r="C174" s="12"/>
      <c r="E174" s="12"/>
      <c r="F174" s="12"/>
      <c r="G174" s="12"/>
      <c r="H174" s="12"/>
      <c r="I174" s="12"/>
      <c r="J174" s="12"/>
      <c r="K174" s="12"/>
    </row>
    <row r="175" spans="3:11" x14ac:dyDescent="0.2">
      <c r="C175" s="12"/>
      <c r="E175" s="12"/>
      <c r="F175" s="12"/>
      <c r="G175" s="12"/>
      <c r="H175" s="12"/>
      <c r="I175" s="12"/>
      <c r="J175" s="12"/>
      <c r="K175" s="12"/>
    </row>
    <row r="176" spans="3:11" x14ac:dyDescent="0.2">
      <c r="C176" s="12"/>
      <c r="E176" s="12"/>
      <c r="F176" s="12"/>
      <c r="G176" s="12"/>
      <c r="H176" s="12"/>
      <c r="I176" s="12"/>
      <c r="J176" s="12"/>
      <c r="K176" s="12"/>
    </row>
    <row r="177" spans="3:11" x14ac:dyDescent="0.2">
      <c r="C177" s="12"/>
      <c r="E177" s="12"/>
      <c r="F177" s="12"/>
      <c r="G177" s="12"/>
      <c r="H177" s="12"/>
      <c r="I177" s="12"/>
      <c r="J177" s="12"/>
      <c r="K177" s="12"/>
    </row>
    <row r="178" spans="3:11" x14ac:dyDescent="0.2">
      <c r="C178" s="12"/>
      <c r="E178" s="12"/>
      <c r="F178" s="12"/>
      <c r="G178" s="12"/>
      <c r="H178" s="12"/>
      <c r="I178" s="12"/>
      <c r="J178" s="12"/>
      <c r="K178" s="12"/>
    </row>
    <row r="179" spans="3:11" x14ac:dyDescent="0.2">
      <c r="C179" s="12"/>
      <c r="E179" s="12"/>
      <c r="F179" s="12"/>
      <c r="G179" s="12"/>
      <c r="H179" s="12"/>
      <c r="I179" s="12"/>
      <c r="J179" s="12"/>
      <c r="K179" s="12"/>
    </row>
    <row r="180" spans="3:11" x14ac:dyDescent="0.2">
      <c r="C180" s="12"/>
      <c r="E180" s="12"/>
      <c r="F180" s="12"/>
      <c r="G180" s="12"/>
      <c r="H180" s="12"/>
      <c r="I180" s="12"/>
      <c r="J180" s="12"/>
      <c r="K180" s="12"/>
    </row>
    <row r="181" spans="3:11" x14ac:dyDescent="0.2">
      <c r="C181" s="12"/>
      <c r="E181" s="12"/>
      <c r="F181" s="12"/>
      <c r="G181" s="12"/>
      <c r="H181" s="12"/>
      <c r="I181" s="12"/>
      <c r="J181" s="12"/>
      <c r="K181" s="12"/>
    </row>
    <row r="182" spans="3:11" x14ac:dyDescent="0.2">
      <c r="C182" s="12"/>
      <c r="E182" s="12"/>
      <c r="F182" s="12"/>
      <c r="G182" s="12"/>
      <c r="H182" s="12"/>
      <c r="I182" s="12"/>
      <c r="J182" s="12"/>
      <c r="K182" s="12"/>
    </row>
    <row r="183" spans="3:11" x14ac:dyDescent="0.2">
      <c r="C183" s="12"/>
      <c r="E183" s="12"/>
      <c r="F183" s="12"/>
      <c r="G183" s="12"/>
      <c r="H183" s="12"/>
      <c r="I183" s="12"/>
      <c r="J183" s="12"/>
      <c r="K183" s="12"/>
    </row>
    <row r="184" spans="3:11" x14ac:dyDescent="0.2">
      <c r="C184" s="12"/>
      <c r="E184" s="12"/>
      <c r="F184" s="12"/>
      <c r="G184" s="12"/>
      <c r="H184" s="12"/>
      <c r="I184" s="12"/>
      <c r="J184" s="12"/>
      <c r="K184" s="12"/>
    </row>
    <row r="185" spans="3:11" x14ac:dyDescent="0.2">
      <c r="C185" s="12"/>
      <c r="E185" s="12"/>
      <c r="F185" s="12"/>
      <c r="G185" s="12"/>
      <c r="H185" s="12"/>
      <c r="I185" s="12"/>
      <c r="J185" s="12"/>
      <c r="K185" s="12"/>
    </row>
    <row r="186" spans="3:11" x14ac:dyDescent="0.2">
      <c r="C186" s="12"/>
      <c r="E186" s="12"/>
      <c r="F186" s="12"/>
      <c r="G186" s="12"/>
      <c r="H186" s="12"/>
      <c r="I186" s="12"/>
      <c r="J186" s="12"/>
      <c r="K186" s="12"/>
    </row>
    <row r="187" spans="3:11" x14ac:dyDescent="0.2">
      <c r="C187" s="12"/>
      <c r="E187" s="12"/>
      <c r="F187" s="12"/>
      <c r="G187" s="12"/>
      <c r="H187" s="12"/>
      <c r="I187" s="12"/>
      <c r="J187" s="12"/>
      <c r="K187" s="12"/>
    </row>
    <row r="188" spans="3:11" x14ac:dyDescent="0.2">
      <c r="C188" s="12"/>
      <c r="E188" s="12"/>
      <c r="F188" s="12"/>
      <c r="G188" s="12"/>
      <c r="H188" s="12"/>
      <c r="I188" s="12"/>
      <c r="J188" s="12"/>
      <c r="K188" s="12"/>
    </row>
    <row r="189" spans="3:11" x14ac:dyDescent="0.2">
      <c r="C189" s="12"/>
      <c r="E189" s="12"/>
      <c r="F189" s="12"/>
      <c r="G189" s="12"/>
      <c r="H189" s="12"/>
      <c r="I189" s="12"/>
      <c r="J189" s="12"/>
      <c r="K189" s="12"/>
    </row>
    <row r="190" spans="3:11" x14ac:dyDescent="0.2">
      <c r="C190" s="12"/>
      <c r="E190" s="12"/>
      <c r="F190" s="12"/>
      <c r="G190" s="12"/>
      <c r="H190" s="12"/>
      <c r="I190" s="12"/>
      <c r="J190" s="12"/>
      <c r="K190" s="12"/>
    </row>
    <row r="191" spans="3:11" x14ac:dyDescent="0.2">
      <c r="C191" s="12"/>
      <c r="E191" s="12"/>
      <c r="F191" s="12"/>
      <c r="G191" s="12"/>
      <c r="H191" s="12"/>
      <c r="I191" s="12"/>
      <c r="J191" s="12"/>
      <c r="K191" s="12"/>
    </row>
    <row r="192" spans="3:11" x14ac:dyDescent="0.2">
      <c r="C192" s="12"/>
      <c r="E192" s="12"/>
      <c r="F192" s="12"/>
      <c r="G192" s="12"/>
      <c r="H192" s="12"/>
      <c r="I192" s="12"/>
      <c r="J192" s="12"/>
      <c r="K192" s="12"/>
    </row>
    <row r="193" spans="3:11" x14ac:dyDescent="0.2">
      <c r="C193" s="12"/>
      <c r="E193" s="12"/>
      <c r="F193" s="12"/>
      <c r="G193" s="12"/>
      <c r="H193" s="12"/>
      <c r="I193" s="12"/>
      <c r="J193" s="12"/>
      <c r="K193" s="12"/>
    </row>
    <row r="194" spans="3:11" x14ac:dyDescent="0.2">
      <c r="C194" s="12"/>
      <c r="E194" s="12"/>
      <c r="F194" s="12"/>
      <c r="G194" s="12"/>
      <c r="H194" s="12"/>
      <c r="I194" s="12"/>
      <c r="J194" s="12"/>
      <c r="K194" s="12"/>
    </row>
    <row r="195" spans="3:11" x14ac:dyDescent="0.2">
      <c r="C195" s="12"/>
      <c r="E195" s="12"/>
      <c r="F195" s="12"/>
      <c r="G195" s="12"/>
      <c r="H195" s="12"/>
      <c r="I195" s="12"/>
      <c r="J195" s="12"/>
      <c r="K195" s="12"/>
    </row>
    <row r="196" spans="3:11" x14ac:dyDescent="0.2">
      <c r="C196" s="12"/>
      <c r="E196" s="12"/>
      <c r="F196" s="12"/>
      <c r="G196" s="12"/>
      <c r="H196" s="12"/>
      <c r="I196" s="12"/>
      <c r="J196" s="12"/>
      <c r="K196" s="12"/>
    </row>
    <row r="197" spans="3:11" x14ac:dyDescent="0.2">
      <c r="C197" s="12"/>
      <c r="E197" s="12"/>
      <c r="F197" s="12"/>
      <c r="G197" s="12"/>
      <c r="H197" s="12"/>
      <c r="I197" s="12"/>
      <c r="J197" s="12"/>
      <c r="K197" s="12"/>
    </row>
    <row r="198" spans="3:11" x14ac:dyDescent="0.2">
      <c r="C198" s="12"/>
      <c r="E198" s="12"/>
      <c r="F198" s="12"/>
      <c r="G198" s="12"/>
      <c r="H198" s="12"/>
      <c r="I198" s="12"/>
      <c r="J198" s="12"/>
      <c r="K198" s="12"/>
    </row>
    <row r="199" spans="3:11" x14ac:dyDescent="0.2">
      <c r="C199" s="12"/>
      <c r="E199" s="12"/>
      <c r="F199" s="12"/>
      <c r="G199" s="12"/>
      <c r="H199" s="12"/>
      <c r="I199" s="12"/>
      <c r="J199" s="12"/>
      <c r="K199" s="12"/>
    </row>
  </sheetData>
  <sheetProtection algorithmName="SHA-512" hashValue="yjJ917lW8c+GHQPdd1J8DiJ6BCC/qdymmmX3sNTJeJN9tD9sQm/auRFCOef+eoA1j4i+zLwz2wl1WrtFtnvjkQ==" saltValue="Q3gyA1XzwBr+hcpKoAhL7A==" spinCount="100000" sheet="1" objects="1" scenarios="1"/>
  <mergeCells count="98">
    <mergeCell ref="C1:M1"/>
    <mergeCell ref="C15:M15"/>
    <mergeCell ref="C17:M17"/>
    <mergeCell ref="C19:M19"/>
    <mergeCell ref="C21:M21"/>
    <mergeCell ref="C3:E3"/>
    <mergeCell ref="C4:E4"/>
    <mergeCell ref="C5:E5"/>
    <mergeCell ref="C7:E7"/>
    <mergeCell ref="C8:E8"/>
    <mergeCell ref="F3:G3"/>
    <mergeCell ref="F4:G4"/>
    <mergeCell ref="F5:G5"/>
    <mergeCell ref="F7:G7"/>
    <mergeCell ref="F8:G8"/>
    <mergeCell ref="C23:M23"/>
    <mergeCell ref="O9:P9"/>
    <mergeCell ref="S9:T9"/>
    <mergeCell ref="W9:X9"/>
    <mergeCell ref="I3:J3"/>
    <mergeCell ref="I4:J4"/>
    <mergeCell ref="C12:E12"/>
    <mergeCell ref="C16:K16"/>
    <mergeCell ref="C20:K20"/>
    <mergeCell ref="C18:K18"/>
    <mergeCell ref="C10:E10"/>
    <mergeCell ref="I5:J5"/>
    <mergeCell ref="I7:J7"/>
    <mergeCell ref="I8:J8"/>
    <mergeCell ref="F9:G9"/>
    <mergeCell ref="F13:G13"/>
    <mergeCell ref="D51:J51"/>
    <mergeCell ref="D68:J68"/>
    <mergeCell ref="D69:J69"/>
    <mergeCell ref="D70:J70"/>
    <mergeCell ref="D71:J71"/>
    <mergeCell ref="D56:J56"/>
    <mergeCell ref="D82:J82"/>
    <mergeCell ref="D88:J88"/>
    <mergeCell ref="D89:J89"/>
    <mergeCell ref="D84:J84"/>
    <mergeCell ref="D59:J59"/>
    <mergeCell ref="D60:J60"/>
    <mergeCell ref="D61:J61"/>
    <mergeCell ref="D72:J72"/>
    <mergeCell ref="D92:J92"/>
    <mergeCell ref="D85:J85"/>
    <mergeCell ref="D90:J90"/>
    <mergeCell ref="D83:J83"/>
    <mergeCell ref="D112:J112"/>
    <mergeCell ref="D110:J110"/>
    <mergeCell ref="D111:J111"/>
    <mergeCell ref="D95:J95"/>
    <mergeCell ref="D91:J91"/>
    <mergeCell ref="D93:J93"/>
    <mergeCell ref="D109:J109"/>
    <mergeCell ref="D96:J96"/>
    <mergeCell ref="D97:J97"/>
    <mergeCell ref="D98:J98"/>
    <mergeCell ref="D101:J101"/>
    <mergeCell ref="D103:J103"/>
    <mergeCell ref="D104:J104"/>
    <mergeCell ref="D105:J105"/>
    <mergeCell ref="D102:J102"/>
    <mergeCell ref="D106:J106"/>
    <mergeCell ref="D107:J107"/>
    <mergeCell ref="D108:J108"/>
    <mergeCell ref="D99:J99"/>
    <mergeCell ref="D100:J100"/>
    <mergeCell ref="C9:E9"/>
    <mergeCell ref="D52:J52"/>
    <mergeCell ref="D54:J54"/>
    <mergeCell ref="D65:J65"/>
    <mergeCell ref="D66:J66"/>
    <mergeCell ref="F12:G12"/>
    <mergeCell ref="I12:J12"/>
    <mergeCell ref="D53:J53"/>
    <mergeCell ref="D63:J63"/>
    <mergeCell ref="D62:J62"/>
    <mergeCell ref="D57:J57"/>
    <mergeCell ref="D58:J58"/>
    <mergeCell ref="I13:J13"/>
    <mergeCell ref="D94:J94"/>
    <mergeCell ref="F10:G10"/>
    <mergeCell ref="D81:J81"/>
    <mergeCell ref="D86:J86"/>
    <mergeCell ref="D76:J76"/>
    <mergeCell ref="D77:J77"/>
    <mergeCell ref="D78:J78"/>
    <mergeCell ref="D79:J79"/>
    <mergeCell ref="D80:J80"/>
    <mergeCell ref="D75:J75"/>
    <mergeCell ref="D74:J74"/>
    <mergeCell ref="D55:J55"/>
    <mergeCell ref="D73:J73"/>
    <mergeCell ref="D64:J64"/>
    <mergeCell ref="D67:J67"/>
    <mergeCell ref="D87:J87"/>
  </mergeCells>
  <phoneticPr fontId="18" type="noConversion"/>
  <pageMargins left="0.2" right="0.2" top="1" bottom="0.5" header="0.3" footer="0.3"/>
  <pageSetup scale="85" orientation="portrait" r:id="rId1"/>
  <headerFooter>
    <oddHeader>&amp;CConfidential QI Report
San Diego County Mental Health Plan
Behavioral Health Services
Fiscal Year 23-24</oddHeader>
    <oddFooter>&amp;LFY 23-24 Medical Record Review Report - Excel - Rev. 7-1-23</oddFooter>
  </headerFooter>
  <rowBreaks count="5" manualBreakCount="5">
    <brk id="17" min="2" max="12" man="1"/>
    <brk id="47" min="2" max="12" man="1"/>
    <brk id="61" min="2" max="12" man="1"/>
    <brk id="80" min="2" max="12" man="1"/>
    <brk id="97" min="2"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D9DA6-4C1D-4E09-87EB-A8176C41C2AE}">
  <sheetPr codeName="Sheet3">
    <tabColor rgb="FFFFC000"/>
  </sheetPr>
  <dimension ref="A1:AQ56"/>
  <sheetViews>
    <sheetView view="pageBreakPreview" zoomScaleNormal="100" zoomScaleSheetLayoutView="100" workbookViewId="0">
      <selection activeCell="G22" sqref="G22"/>
    </sheetView>
  </sheetViews>
  <sheetFormatPr defaultColWidth="8.85546875" defaultRowHeight="12.75" x14ac:dyDescent="0.2"/>
  <cols>
    <col min="1" max="1" width="11.42578125" style="10" customWidth="1"/>
    <col min="2" max="2" width="10.140625" style="10" customWidth="1"/>
    <col min="3" max="3" width="8.5703125" style="10" customWidth="1"/>
    <col min="4" max="4" width="8.42578125" style="10" customWidth="1"/>
    <col min="5" max="5" width="12.7109375" style="10" customWidth="1"/>
    <col min="6" max="6" width="13.28515625" style="50" customWidth="1"/>
    <col min="7" max="7" width="29.85546875" style="50" customWidth="1"/>
    <col min="8" max="8" width="10.28515625" style="48" customWidth="1"/>
    <col min="9" max="9" width="9.42578125" style="10" customWidth="1"/>
    <col min="10" max="10" width="41.85546875" style="10" customWidth="1"/>
    <col min="11" max="17" width="9.28515625" style="10" customWidth="1"/>
    <col min="18" max="18" width="21.28515625" style="10" customWidth="1"/>
    <col min="19" max="20" width="9.28515625" style="10" customWidth="1"/>
    <col min="21" max="21" width="2.42578125" style="10" customWidth="1"/>
    <col min="22" max="22" width="12" style="10" hidden="1" customWidth="1"/>
    <col min="23" max="23" width="11.42578125" style="10" hidden="1" customWidth="1"/>
    <col min="24" max="24" width="11.140625" style="10" hidden="1" customWidth="1"/>
    <col min="25" max="25" width="13" style="10" hidden="1" customWidth="1"/>
    <col min="26" max="26" width="10.5703125" style="10" hidden="1" customWidth="1"/>
    <col min="27" max="27" width="23.5703125" style="10" hidden="1" customWidth="1"/>
    <col min="28" max="28" width="26.42578125" style="48" hidden="1" customWidth="1"/>
    <col min="29" max="29" width="13.28515625" style="48" hidden="1" customWidth="1"/>
    <col min="30" max="30" width="6.42578125" style="10" hidden="1" customWidth="1"/>
    <col min="31" max="31" width="9.140625" style="10" hidden="1" customWidth="1"/>
    <col min="32" max="32" width="9.7109375" style="10" hidden="1" customWidth="1"/>
    <col min="33" max="34" width="8.28515625" style="10" hidden="1" customWidth="1"/>
    <col min="35" max="35" width="9.42578125" style="10" hidden="1" customWidth="1"/>
    <col min="36" max="38" width="8.28515625" style="10" hidden="1" customWidth="1"/>
    <col min="39" max="39" width="16.28515625" style="10" hidden="1" customWidth="1"/>
    <col min="40" max="41" width="9.85546875" style="10" hidden="1" customWidth="1"/>
    <col min="42" max="42" width="22.42578125" style="10" customWidth="1"/>
    <col min="43" max="43" width="16.42578125" style="10" bestFit="1" customWidth="1"/>
    <col min="44" max="16384" width="8.85546875" style="10"/>
  </cols>
  <sheetData>
    <row r="1" spans="1:43" ht="15.75" x14ac:dyDescent="0.2">
      <c r="A1" s="506" t="s">
        <v>82</v>
      </c>
      <c r="B1" s="506"/>
      <c r="C1" s="506"/>
      <c r="D1" s="506"/>
      <c r="E1" s="506"/>
      <c r="F1" s="506"/>
      <c r="G1" s="506"/>
      <c r="H1" s="506"/>
      <c r="I1" s="506"/>
      <c r="J1" s="506"/>
      <c r="K1" s="135"/>
      <c r="L1" s="135"/>
      <c r="M1" s="135"/>
      <c r="N1" s="135"/>
      <c r="O1" s="135"/>
      <c r="P1" s="135"/>
      <c r="Q1" s="135"/>
      <c r="R1" s="135"/>
      <c r="S1" s="135"/>
      <c r="T1" s="135"/>
      <c r="U1" s="135"/>
      <c r="V1" s="135"/>
      <c r="W1" s="135"/>
      <c r="X1" s="135"/>
      <c r="Y1" s="135"/>
      <c r="Z1" s="135"/>
      <c r="AA1" s="135"/>
      <c r="AB1" s="123"/>
      <c r="AC1" s="123"/>
      <c r="AD1" s="135"/>
      <c r="AE1" s="135"/>
      <c r="AF1" s="135"/>
      <c r="AG1" s="135"/>
      <c r="AH1" s="135"/>
      <c r="AI1" s="135"/>
      <c r="AJ1" s="135"/>
      <c r="AK1" s="135"/>
      <c r="AL1" s="135"/>
      <c r="AM1" s="135"/>
      <c r="AN1" s="135"/>
      <c r="AO1" s="135"/>
      <c r="AP1" s="135"/>
    </row>
    <row r="2" spans="1:43" x14ac:dyDescent="0.2">
      <c r="A2" s="135"/>
      <c r="B2" s="135"/>
      <c r="C2" s="135"/>
      <c r="D2" s="135"/>
      <c r="E2" s="135"/>
      <c r="F2" s="119"/>
      <c r="G2" s="119"/>
      <c r="H2" s="123"/>
      <c r="I2" s="135"/>
      <c r="J2" s="135"/>
      <c r="K2" s="135"/>
      <c r="L2" s="135"/>
      <c r="M2" s="139"/>
      <c r="N2" s="135"/>
      <c r="O2" s="135"/>
      <c r="P2" s="135"/>
      <c r="Q2" s="135"/>
      <c r="R2" s="135"/>
      <c r="S2" s="135"/>
      <c r="T2" s="135"/>
      <c r="U2" s="135"/>
      <c r="V2" s="135"/>
      <c r="W2" s="135"/>
      <c r="X2" s="135"/>
      <c r="Y2" s="135"/>
      <c r="Z2" s="135"/>
      <c r="AA2" s="135"/>
      <c r="AB2" s="123"/>
      <c r="AC2" s="123"/>
      <c r="AD2" s="135"/>
      <c r="AE2" s="135"/>
      <c r="AF2" s="135"/>
      <c r="AG2" s="135"/>
      <c r="AH2" s="135"/>
      <c r="AI2" s="135"/>
      <c r="AJ2" s="135"/>
      <c r="AK2" s="135"/>
      <c r="AL2" s="135"/>
      <c r="AM2" s="135"/>
      <c r="AN2" s="135"/>
      <c r="AO2" s="135"/>
      <c r="AP2" s="135"/>
    </row>
    <row r="3" spans="1:43" ht="15" x14ac:dyDescent="0.2">
      <c r="A3" s="507" t="s">
        <v>338</v>
      </c>
      <c r="B3" s="508"/>
      <c r="C3" s="509"/>
      <c r="D3" s="176">
        <f>'Chart Review Info'!D3</f>
        <v>0</v>
      </c>
      <c r="E3" s="177"/>
      <c r="F3" s="355"/>
      <c r="G3" s="511" t="s">
        <v>37</v>
      </c>
      <c r="H3" s="509"/>
      <c r="I3" s="510">
        <f>'Chart Review Info'!G3</f>
        <v>0</v>
      </c>
      <c r="J3" s="510"/>
      <c r="K3" s="135"/>
      <c r="L3" s="135"/>
      <c r="M3" s="139"/>
      <c r="N3" s="135"/>
      <c r="O3" s="135"/>
      <c r="P3" s="135"/>
      <c r="Q3" s="135"/>
      <c r="R3" s="135"/>
      <c r="S3" s="135"/>
      <c r="T3" s="135"/>
      <c r="U3" s="135"/>
      <c r="V3" s="135"/>
      <c r="W3" s="135"/>
      <c r="X3" s="135"/>
      <c r="Y3" s="135"/>
      <c r="Z3" s="135"/>
      <c r="AA3" s="135"/>
      <c r="AB3" s="123"/>
      <c r="AC3" s="123"/>
      <c r="AD3" s="135"/>
      <c r="AE3" s="135"/>
      <c r="AF3" s="135"/>
      <c r="AG3" s="135"/>
      <c r="AH3" s="135"/>
      <c r="AI3" s="135"/>
      <c r="AJ3" s="135"/>
      <c r="AK3" s="135"/>
      <c r="AL3" s="135"/>
      <c r="AM3" s="135"/>
      <c r="AN3" s="135"/>
      <c r="AO3" s="135"/>
      <c r="AP3" s="135"/>
    </row>
    <row r="4" spans="1:43" ht="15" x14ac:dyDescent="0.2">
      <c r="A4" s="507" t="s">
        <v>38</v>
      </c>
      <c r="B4" s="508"/>
      <c r="C4" s="509"/>
      <c r="D4" s="176">
        <f>'Chart Review Info'!D4</f>
        <v>0</v>
      </c>
      <c r="E4" s="177"/>
      <c r="F4" s="355"/>
      <c r="G4" s="511" t="s">
        <v>39</v>
      </c>
      <c r="H4" s="509"/>
      <c r="I4" s="510">
        <f>'Chart Review Info'!G4</f>
        <v>0</v>
      </c>
      <c r="J4" s="510"/>
      <c r="K4" s="135"/>
      <c r="L4" s="135"/>
      <c r="M4" s="135"/>
      <c r="N4" s="135"/>
      <c r="O4" s="135"/>
      <c r="P4" s="135"/>
      <c r="Q4" s="135"/>
      <c r="R4" s="135"/>
      <c r="S4" s="135"/>
      <c r="T4" s="135"/>
      <c r="U4" s="135"/>
      <c r="V4" s="135"/>
      <c r="W4" s="135"/>
      <c r="X4" s="135"/>
      <c r="Y4" s="135"/>
      <c r="Z4" s="135"/>
      <c r="AA4" s="135"/>
      <c r="AB4" s="123"/>
      <c r="AC4" s="123"/>
      <c r="AD4" s="135"/>
      <c r="AE4" s="135"/>
      <c r="AF4" s="135"/>
      <c r="AG4" s="135"/>
      <c r="AH4" s="135"/>
      <c r="AI4" s="135"/>
      <c r="AJ4" s="135"/>
      <c r="AK4" s="135"/>
      <c r="AL4" s="135"/>
      <c r="AM4" s="135"/>
      <c r="AN4" s="135"/>
      <c r="AO4" s="135"/>
      <c r="AP4" s="135"/>
    </row>
    <row r="5" spans="1:43" ht="15" x14ac:dyDescent="0.2">
      <c r="A5" s="507" t="s">
        <v>40</v>
      </c>
      <c r="B5" s="508"/>
      <c r="C5" s="509"/>
      <c r="D5" s="178">
        <f>'Chart Review Info'!D8</f>
        <v>0</v>
      </c>
      <c r="E5" s="179"/>
      <c r="F5" s="356"/>
      <c r="G5" s="511" t="s">
        <v>41</v>
      </c>
      <c r="H5" s="509"/>
      <c r="I5" s="510">
        <f>'Chart Review Info'!G5</f>
        <v>0</v>
      </c>
      <c r="J5" s="510"/>
      <c r="K5" s="135"/>
      <c r="L5" s="135"/>
      <c r="M5" s="135"/>
      <c r="N5" s="135"/>
      <c r="O5" s="135"/>
      <c r="P5" s="135"/>
      <c r="Q5" s="135"/>
      <c r="R5" s="135"/>
      <c r="S5" s="135"/>
      <c r="T5" s="135"/>
      <c r="U5" s="135"/>
      <c r="V5" s="135"/>
      <c r="W5" s="135"/>
      <c r="X5" s="135"/>
      <c r="Y5" s="135"/>
      <c r="Z5" s="135"/>
      <c r="AA5" s="135"/>
      <c r="AB5" s="123"/>
      <c r="AC5" s="123"/>
      <c r="AD5" s="135"/>
      <c r="AE5" s="135"/>
      <c r="AF5" s="135"/>
      <c r="AG5" s="135"/>
      <c r="AH5" s="135"/>
      <c r="AI5" s="135"/>
      <c r="AJ5" s="135"/>
      <c r="AK5" s="135"/>
      <c r="AL5" s="135"/>
      <c r="AM5" s="135"/>
      <c r="AN5" s="135"/>
      <c r="AO5" s="135"/>
      <c r="AP5" s="135"/>
    </row>
    <row r="6" spans="1:43" ht="15.75" thickBot="1" x14ac:dyDescent="0.25">
      <c r="A6" s="118"/>
      <c r="B6" s="118"/>
      <c r="C6" s="114"/>
      <c r="D6" s="135"/>
      <c r="E6" s="118"/>
      <c r="F6" s="119"/>
      <c r="G6" s="135"/>
      <c r="H6" s="139"/>
      <c r="I6" s="135"/>
      <c r="J6" s="135"/>
      <c r="K6" s="135"/>
      <c r="L6" s="135"/>
      <c r="M6" s="139"/>
      <c r="N6" s="135"/>
      <c r="O6" s="135"/>
      <c r="P6" s="135"/>
      <c r="Q6" s="135"/>
      <c r="R6" s="135"/>
      <c r="S6" s="135"/>
      <c r="T6" s="135"/>
      <c r="U6" s="135"/>
      <c r="V6" s="135"/>
      <c r="W6" s="135"/>
      <c r="X6" s="135"/>
      <c r="Y6" s="135"/>
      <c r="Z6" s="123"/>
      <c r="AA6" s="123"/>
      <c r="AB6" s="135"/>
      <c r="AC6" s="135"/>
      <c r="AD6" s="135"/>
      <c r="AE6" s="135"/>
      <c r="AF6" s="135"/>
      <c r="AG6" s="135"/>
      <c r="AH6" s="135"/>
      <c r="AI6" s="135"/>
      <c r="AJ6" s="135"/>
      <c r="AK6" s="135"/>
      <c r="AL6" s="135"/>
      <c r="AM6" s="135"/>
      <c r="AN6" s="135"/>
      <c r="AO6" s="135"/>
      <c r="AP6" s="135"/>
    </row>
    <row r="7" spans="1:43" ht="15.75" thickBot="1" x14ac:dyDescent="0.25">
      <c r="A7" s="120" t="s">
        <v>83</v>
      </c>
      <c r="B7" s="121"/>
      <c r="C7" s="140"/>
      <c r="D7" s="141"/>
      <c r="E7" s="121"/>
      <c r="F7" s="122"/>
      <c r="G7" s="141"/>
      <c r="H7" s="142"/>
      <c r="I7" s="141"/>
      <c r="J7" s="143"/>
      <c r="U7" s="135"/>
      <c r="V7" s="135"/>
      <c r="W7" s="135"/>
      <c r="X7" s="135"/>
      <c r="Y7" s="135"/>
      <c r="Z7" s="123"/>
      <c r="AA7" s="123"/>
      <c r="AB7" s="135"/>
      <c r="AC7" s="135"/>
      <c r="AD7" s="135"/>
      <c r="AE7" s="135"/>
      <c r="AF7" s="184" t="s">
        <v>339</v>
      </c>
      <c r="AG7" s="135"/>
      <c r="AH7" s="135"/>
      <c r="AI7" s="135"/>
      <c r="AJ7" s="135"/>
      <c r="AK7" s="135"/>
      <c r="AL7" s="135"/>
      <c r="AM7" s="135"/>
      <c r="AN7" s="135"/>
      <c r="AO7" s="135"/>
      <c r="AP7" s="135"/>
    </row>
    <row r="8" spans="1:43" ht="16.5" customHeight="1" x14ac:dyDescent="0.2">
      <c r="A8" s="118"/>
      <c r="C8" s="114"/>
      <c r="D8" s="135"/>
      <c r="E8" s="118"/>
      <c r="F8" s="119"/>
      <c r="G8" s="135"/>
      <c r="H8" s="139"/>
      <c r="I8" s="135"/>
      <c r="J8" s="135"/>
      <c r="K8" s="184" t="s">
        <v>339</v>
      </c>
      <c r="U8" s="135"/>
      <c r="V8" s="135"/>
      <c r="X8" s="135"/>
      <c r="Y8" s="135"/>
      <c r="Z8" s="123"/>
      <c r="AA8" s="123"/>
      <c r="AB8" s="135"/>
      <c r="AC8" s="135"/>
      <c r="AD8" s="135"/>
      <c r="AE8" s="135"/>
      <c r="AF8" s="505" t="s">
        <v>340</v>
      </c>
      <c r="AG8" s="505"/>
      <c r="AH8" s="505"/>
      <c r="AI8" s="505"/>
      <c r="AJ8" s="505"/>
      <c r="AK8" s="505"/>
      <c r="AL8" s="505"/>
      <c r="AM8" s="505"/>
      <c r="AN8" s="505"/>
      <c r="AO8" s="505"/>
      <c r="AP8" s="135"/>
    </row>
    <row r="9" spans="1:43" ht="46.5" customHeight="1" x14ac:dyDescent="0.2">
      <c r="K9" s="505" t="s">
        <v>340</v>
      </c>
      <c r="L9" s="505"/>
      <c r="M9" s="505"/>
      <c r="N9" s="505"/>
      <c r="O9" s="505"/>
      <c r="P9" s="505"/>
      <c r="Q9" s="505"/>
      <c r="R9" s="505"/>
      <c r="S9" s="505"/>
      <c r="T9" s="505"/>
      <c r="U9" s="135"/>
      <c r="V9" s="506" t="s">
        <v>85</v>
      </c>
      <c r="W9" s="506"/>
      <c r="X9" s="506"/>
      <c r="Y9" s="506"/>
      <c r="Z9" s="506"/>
      <c r="AA9" s="506"/>
      <c r="AB9" s="506"/>
      <c r="AC9" s="506"/>
      <c r="AD9" s="506"/>
      <c r="AE9" s="506"/>
      <c r="AF9" s="170"/>
      <c r="AG9" s="170"/>
      <c r="AH9" s="170"/>
      <c r="AI9" s="170"/>
      <c r="AJ9" s="170"/>
      <c r="AK9" s="170"/>
      <c r="AL9" s="170"/>
      <c r="AM9" s="170"/>
      <c r="AN9" s="170"/>
      <c r="AO9" s="170"/>
      <c r="AP9" s="170"/>
    </row>
    <row r="10" spans="1:43" s="48" customFormat="1" ht="17.25" hidden="1" customHeight="1" x14ac:dyDescent="0.2">
      <c r="A10" s="144" t="s">
        <v>96</v>
      </c>
      <c r="B10" s="135" t="s">
        <v>47</v>
      </c>
      <c r="C10" s="114"/>
      <c r="D10" s="135"/>
      <c r="E10" s="118"/>
      <c r="F10" s="119"/>
      <c r="G10" s="119"/>
      <c r="H10" s="123"/>
      <c r="I10" s="135"/>
      <c r="J10" s="139"/>
      <c r="L10" s="135"/>
      <c r="M10" s="135"/>
      <c r="N10" s="135"/>
      <c r="O10" s="135"/>
      <c r="P10" s="135"/>
      <c r="Q10" s="135"/>
      <c r="R10" s="135"/>
      <c r="S10" s="135"/>
      <c r="T10" s="135"/>
      <c r="U10" s="123"/>
      <c r="V10" s="134" t="s">
        <v>86</v>
      </c>
      <c r="W10" s="134" t="s">
        <v>87</v>
      </c>
      <c r="X10" s="134" t="s">
        <v>88</v>
      </c>
      <c r="Y10" s="134" t="s">
        <v>89</v>
      </c>
      <c r="Z10" s="134" t="s">
        <v>90</v>
      </c>
      <c r="AA10" s="134" t="s">
        <v>95</v>
      </c>
      <c r="AB10" s="134" t="s">
        <v>92</v>
      </c>
      <c r="AC10" s="134" t="s">
        <v>510</v>
      </c>
      <c r="AD10" s="134" t="s">
        <v>93</v>
      </c>
      <c r="AE10" s="134" t="s">
        <v>94</v>
      </c>
      <c r="AF10" s="183" t="s">
        <v>341</v>
      </c>
      <c r="AG10" s="183" t="s">
        <v>342</v>
      </c>
      <c r="AH10" s="183" t="s">
        <v>343</v>
      </c>
      <c r="AI10" s="183" t="s">
        <v>344</v>
      </c>
      <c r="AJ10" s="183" t="s">
        <v>345</v>
      </c>
      <c r="AK10" s="183" t="s">
        <v>346</v>
      </c>
      <c r="AL10" s="183" t="s">
        <v>347</v>
      </c>
      <c r="AM10" s="183" t="s">
        <v>92</v>
      </c>
      <c r="AN10" s="183" t="s">
        <v>348</v>
      </c>
      <c r="AO10" s="183" t="s">
        <v>349</v>
      </c>
      <c r="AP10" s="183"/>
    </row>
    <row r="11" spans="1:43" hidden="1" x14ac:dyDescent="0.2">
      <c r="A11" s="144" t="s">
        <v>97</v>
      </c>
      <c r="B11" s="135" t="s">
        <v>47</v>
      </c>
      <c r="C11" s="135"/>
      <c r="D11" s="135"/>
      <c r="E11" s="135"/>
      <c r="F11" s="119"/>
      <c r="G11" s="119"/>
      <c r="H11" s="123"/>
      <c r="I11" s="135"/>
      <c r="J11" s="135"/>
      <c r="U11" s="135"/>
      <c r="V11" s="144" t="s">
        <v>96</v>
      </c>
      <c r="W11" s="135" t="s">
        <v>47</v>
      </c>
      <c r="X11" s="135"/>
      <c r="Y11" s="135"/>
      <c r="Z11" s="135"/>
      <c r="AA11" s="135"/>
      <c r="AB11" s="123"/>
      <c r="AC11" s="123"/>
      <c r="AD11" s="135"/>
      <c r="AE11" s="135"/>
      <c r="AF11" s="135"/>
      <c r="AG11" s="135"/>
      <c r="AH11" s="135"/>
      <c r="AI11" s="135"/>
      <c r="AJ11" s="135"/>
      <c r="AK11" s="135"/>
      <c r="AL11" s="135"/>
      <c r="AM11" s="135"/>
      <c r="AN11" s="135"/>
      <c r="AO11" s="135"/>
      <c r="AP11" s="135"/>
    </row>
    <row r="12" spans="1:43" ht="15.75" x14ac:dyDescent="0.2">
      <c r="A12" s="506" t="s">
        <v>84</v>
      </c>
      <c r="B12" s="506"/>
      <c r="C12" s="506"/>
      <c r="D12" s="506"/>
      <c r="E12" s="506"/>
      <c r="F12" s="506"/>
      <c r="G12" s="506"/>
      <c r="H12" s="506"/>
      <c r="I12" s="506"/>
      <c r="J12" s="506"/>
      <c r="K12" s="170"/>
      <c r="L12" s="170"/>
      <c r="M12" s="170"/>
      <c r="N12" s="170"/>
      <c r="O12" s="170"/>
      <c r="P12" s="170"/>
      <c r="Q12" s="170"/>
      <c r="R12" s="170"/>
      <c r="S12" s="170"/>
      <c r="T12" s="170"/>
      <c r="U12" s="135"/>
      <c r="V12" s="144" t="s">
        <v>98</v>
      </c>
      <c r="W12" s="135" t="s">
        <v>47</v>
      </c>
      <c r="X12" s="135"/>
      <c r="Y12" s="135"/>
      <c r="Z12" s="135"/>
      <c r="AA12" s="135"/>
      <c r="AB12" s="123"/>
      <c r="AC12" s="123"/>
      <c r="AD12" s="135"/>
      <c r="AE12" s="135"/>
      <c r="AF12" s="135"/>
      <c r="AG12" s="135"/>
      <c r="AH12" s="135"/>
      <c r="AI12" s="135"/>
      <c r="AJ12" s="135"/>
      <c r="AK12" s="135"/>
      <c r="AL12" s="135"/>
      <c r="AM12" s="135"/>
      <c r="AN12" s="135"/>
      <c r="AO12" s="135"/>
      <c r="AP12" s="135"/>
    </row>
    <row r="13" spans="1:43" ht="114.75" x14ac:dyDescent="0.2">
      <c r="A13" s="407" t="s">
        <v>510</v>
      </c>
      <c r="B13" s="405" t="s">
        <v>86</v>
      </c>
      <c r="C13" s="405" t="s">
        <v>87</v>
      </c>
      <c r="D13" s="405" t="s">
        <v>88</v>
      </c>
      <c r="E13" s="405" t="s">
        <v>89</v>
      </c>
      <c r="F13" s="406" t="s">
        <v>90</v>
      </c>
      <c r="G13" s="407" t="s">
        <v>91</v>
      </c>
      <c r="H13" s="405" t="s">
        <v>644</v>
      </c>
      <c r="I13" s="407" t="s">
        <v>201</v>
      </c>
      <c r="J13" s="405" t="s">
        <v>92</v>
      </c>
      <c r="K13" s="183" t="s">
        <v>341</v>
      </c>
      <c r="L13" s="183" t="s">
        <v>342</v>
      </c>
      <c r="M13" s="183" t="s">
        <v>343</v>
      </c>
      <c r="N13" s="183" t="s">
        <v>344</v>
      </c>
      <c r="O13" s="183" t="s">
        <v>345</v>
      </c>
      <c r="P13" s="183" t="s">
        <v>346</v>
      </c>
      <c r="Q13" s="183" t="s">
        <v>347</v>
      </c>
      <c r="R13" s="183" t="s">
        <v>92</v>
      </c>
      <c r="S13" s="183" t="s">
        <v>348</v>
      </c>
      <c r="T13" s="183" t="s">
        <v>349</v>
      </c>
      <c r="U13" s="135"/>
      <c r="V13" s="135"/>
      <c r="W13" s="135"/>
      <c r="X13" s="135"/>
      <c r="Y13" s="135"/>
      <c r="Z13" s="135"/>
      <c r="AA13" s="135"/>
      <c r="AB13" s="123"/>
      <c r="AC13" s="123"/>
      <c r="AD13" s="135"/>
      <c r="AE13" s="135"/>
      <c r="AF13" s="135"/>
      <c r="AG13" s="135"/>
      <c r="AH13" s="135"/>
      <c r="AI13" s="135"/>
      <c r="AJ13" s="135"/>
      <c r="AK13" s="135"/>
      <c r="AL13" s="135"/>
      <c r="AM13" s="135"/>
      <c r="AN13" s="135"/>
      <c r="AO13" s="135"/>
      <c r="AP13" s="135"/>
    </row>
    <row r="14" spans="1:43" s="48" customFormat="1" ht="18" customHeight="1" x14ac:dyDescent="0.2">
      <c r="A14" s="135">
        <v>0</v>
      </c>
      <c r="B14" s="135">
        <v>0</v>
      </c>
      <c r="C14" s="135">
        <v>0</v>
      </c>
      <c r="D14" s="135">
        <v>0</v>
      </c>
      <c r="E14" s="135">
        <v>0</v>
      </c>
      <c r="F14" s="146">
        <v>0</v>
      </c>
      <c r="G14" s="135">
        <v>0</v>
      </c>
      <c r="H14" s="135">
        <v>0</v>
      </c>
      <c r="I14" s="135">
        <v>0</v>
      </c>
      <c r="J14" s="123">
        <v>0</v>
      </c>
      <c r="K14" s="135"/>
      <c r="L14" s="135"/>
      <c r="M14" s="135"/>
      <c r="N14" s="135"/>
      <c r="O14" s="135"/>
      <c r="P14" s="135"/>
      <c r="Q14" s="135"/>
      <c r="R14" s="135"/>
      <c r="S14" s="135"/>
      <c r="T14" s="135"/>
      <c r="U14" s="123"/>
      <c r="V14" s="145" t="s">
        <v>86</v>
      </c>
      <c r="W14" s="145" t="s">
        <v>87</v>
      </c>
      <c r="X14" s="144" t="s">
        <v>88</v>
      </c>
      <c r="Y14" s="144" t="s">
        <v>89</v>
      </c>
      <c r="Z14" s="144" t="s">
        <v>90</v>
      </c>
      <c r="AA14" s="145" t="s">
        <v>95</v>
      </c>
      <c r="AB14" s="145" t="s">
        <v>92</v>
      </c>
      <c r="AC14" s="135" t="s">
        <v>557</v>
      </c>
      <c r="AD14" s="135" t="s">
        <v>99</v>
      </c>
      <c r="AE14" s="135" t="s">
        <v>100</v>
      </c>
      <c r="AF14" s="123"/>
      <c r="AG14" s="123"/>
      <c r="AH14" s="123"/>
      <c r="AI14" s="123"/>
      <c r="AJ14" s="123"/>
      <c r="AK14" s="123"/>
      <c r="AL14" s="123"/>
      <c r="AM14" s="123"/>
      <c r="AN14" s="123"/>
      <c r="AO14" s="123"/>
      <c r="AP14" s="135"/>
      <c r="AQ14" s="10"/>
    </row>
    <row r="15" spans="1:43" x14ac:dyDescent="0.2">
      <c r="A15" s="135" t="s">
        <v>103</v>
      </c>
      <c r="B15" s="135"/>
      <c r="C15" s="135"/>
      <c r="D15" s="135"/>
      <c r="E15" s="135"/>
      <c r="F15" s="135"/>
      <c r="G15" s="135"/>
      <c r="H15" s="135"/>
      <c r="I15" s="135"/>
      <c r="J15" s="135"/>
      <c r="K15" s="357"/>
      <c r="L15" s="357"/>
      <c r="M15" s="357"/>
      <c r="N15" s="357"/>
      <c r="O15" s="357"/>
      <c r="P15" s="357"/>
      <c r="Q15" s="357"/>
      <c r="R15" s="357"/>
      <c r="S15" s="357"/>
      <c r="T15" s="357"/>
      <c r="U15" s="135"/>
      <c r="V15" s="135">
        <v>0</v>
      </c>
      <c r="W15" s="135">
        <v>0</v>
      </c>
      <c r="X15" s="135">
        <v>0</v>
      </c>
      <c r="Y15" s="135">
        <v>0</v>
      </c>
      <c r="Z15" s="146">
        <v>0</v>
      </c>
      <c r="AA15" s="123">
        <v>0</v>
      </c>
      <c r="AB15" s="123">
        <v>0</v>
      </c>
      <c r="AC15" s="135">
        <v>0</v>
      </c>
      <c r="AD15" s="114">
        <v>0</v>
      </c>
      <c r="AE15" s="115">
        <v>0</v>
      </c>
      <c r="AF15" s="135"/>
      <c r="AG15" s="135"/>
      <c r="AH15" s="135"/>
      <c r="AI15" s="135"/>
      <c r="AJ15" s="135"/>
      <c r="AK15" s="135"/>
      <c r="AL15" s="135"/>
      <c r="AM15" s="135"/>
      <c r="AN15" s="135"/>
      <c r="AO15" s="135"/>
      <c r="AP15" s="115"/>
    </row>
    <row r="16" spans="1:43" x14ac:dyDescent="0.2">
      <c r="A16"/>
      <c r="B16"/>
      <c r="C16"/>
      <c r="D16"/>
      <c r="E16"/>
      <c r="F16"/>
      <c r="G16"/>
      <c r="H16"/>
      <c r="I16"/>
      <c r="J16"/>
      <c r="K16" s="357"/>
      <c r="L16" s="357"/>
      <c r="M16" s="357"/>
      <c r="N16" s="357"/>
      <c r="O16" s="357"/>
      <c r="P16" s="357"/>
      <c r="Q16" s="357"/>
      <c r="R16" s="357"/>
      <c r="S16" s="357"/>
      <c r="T16" s="357"/>
      <c r="U16" s="135"/>
      <c r="V16" s="123" t="s">
        <v>103</v>
      </c>
      <c r="W16" s="123"/>
      <c r="X16" s="123"/>
      <c r="Y16" s="123"/>
      <c r="Z16" s="123"/>
      <c r="AA16" s="123"/>
      <c r="AB16" s="123"/>
      <c r="AC16" s="135">
        <v>0</v>
      </c>
      <c r="AD16" s="114">
        <v>0</v>
      </c>
      <c r="AE16" s="115">
        <v>0</v>
      </c>
      <c r="AF16" s="135"/>
      <c r="AG16" s="135"/>
      <c r="AH16" s="135"/>
      <c r="AI16" s="135"/>
      <c r="AJ16" s="135"/>
      <c r="AK16" s="135"/>
      <c r="AL16" s="135"/>
      <c r="AM16" s="135"/>
      <c r="AN16" s="135"/>
      <c r="AO16" s="135"/>
      <c r="AP16" s="115"/>
    </row>
    <row r="17" spans="1:42" x14ac:dyDescent="0.2">
      <c r="A17"/>
      <c r="B17"/>
      <c r="C17"/>
      <c r="D17"/>
      <c r="E17"/>
      <c r="F17"/>
      <c r="G17"/>
      <c r="H17"/>
      <c r="I17"/>
      <c r="J17"/>
      <c r="K17" s="357"/>
      <c r="L17" s="357"/>
      <c r="M17" s="357"/>
      <c r="N17" s="357"/>
      <c r="O17" s="357"/>
      <c r="P17" s="357"/>
      <c r="Q17" s="357"/>
      <c r="R17" s="357"/>
      <c r="S17" s="357"/>
      <c r="T17" s="357"/>
      <c r="U17" s="135"/>
      <c r="V17"/>
      <c r="W17"/>
      <c r="X17"/>
      <c r="Y17"/>
      <c r="Z17"/>
      <c r="AA17"/>
      <c r="AB17"/>
      <c r="AC17"/>
      <c r="AD17"/>
      <c r="AE17"/>
      <c r="AF17" s="135"/>
      <c r="AG17" s="135"/>
      <c r="AH17" s="135"/>
      <c r="AI17" s="135"/>
      <c r="AJ17" s="135"/>
      <c r="AK17" s="135"/>
      <c r="AL17" s="135"/>
      <c r="AM17" s="135"/>
      <c r="AN17" s="135"/>
      <c r="AO17" s="135"/>
      <c r="AP17" s="115"/>
    </row>
    <row r="18" spans="1:42" x14ac:dyDescent="0.2">
      <c r="A18"/>
      <c r="B18"/>
      <c r="C18"/>
      <c r="D18"/>
      <c r="E18"/>
      <c r="F18" s="3"/>
      <c r="G18"/>
      <c r="H18"/>
      <c r="I18"/>
      <c r="J18"/>
      <c r="K18" s="357"/>
      <c r="L18" s="357"/>
      <c r="M18" s="357"/>
      <c r="N18" s="357"/>
      <c r="O18" s="357"/>
      <c r="P18" s="357"/>
      <c r="Q18" s="357"/>
      <c r="R18" s="357"/>
      <c r="S18" s="357"/>
      <c r="T18" s="357"/>
      <c r="U18" s="135"/>
      <c r="V18"/>
      <c r="W18"/>
      <c r="X18"/>
      <c r="Y18"/>
      <c r="Z18"/>
      <c r="AA18"/>
      <c r="AB18"/>
      <c r="AC18"/>
      <c r="AD18"/>
      <c r="AE18"/>
      <c r="AF18" s="135"/>
      <c r="AG18" s="135"/>
      <c r="AH18" s="135"/>
      <c r="AI18" s="135"/>
      <c r="AJ18" s="135"/>
      <c r="AK18" s="135"/>
      <c r="AL18" s="135"/>
      <c r="AM18" s="135"/>
      <c r="AN18" s="135"/>
      <c r="AO18" s="135"/>
      <c r="AP18" s="115"/>
    </row>
    <row r="19" spans="1:42" x14ac:dyDescent="0.2">
      <c r="A19"/>
      <c r="B19"/>
      <c r="C19"/>
      <c r="D19"/>
      <c r="E19"/>
      <c r="F19" s="3"/>
      <c r="G19"/>
      <c r="H19"/>
      <c r="I19"/>
      <c r="J19"/>
      <c r="K19" s="357"/>
      <c r="L19" s="357"/>
      <c r="M19" s="357"/>
      <c r="N19" s="357"/>
      <c r="O19" s="357"/>
      <c r="P19" s="357"/>
      <c r="Q19" s="357"/>
      <c r="R19" s="357"/>
      <c r="S19" s="357"/>
      <c r="T19" s="357"/>
      <c r="U19" s="135"/>
      <c r="V19"/>
      <c r="W19"/>
      <c r="X19"/>
      <c r="Y19"/>
      <c r="Z19"/>
      <c r="AA19"/>
      <c r="AB19"/>
      <c r="AC19"/>
      <c r="AD19"/>
      <c r="AE19"/>
      <c r="AF19" s="135"/>
      <c r="AG19" s="135"/>
      <c r="AH19" s="135"/>
      <c r="AI19" s="135"/>
      <c r="AJ19" s="135"/>
      <c r="AK19" s="135"/>
      <c r="AL19" s="135"/>
      <c r="AM19" s="135"/>
      <c r="AN19" s="135"/>
      <c r="AO19" s="135"/>
      <c r="AP19" s="115"/>
    </row>
    <row r="20" spans="1:42" x14ac:dyDescent="0.2">
      <c r="A20"/>
      <c r="B20"/>
      <c r="C20"/>
      <c r="D20"/>
      <c r="E20"/>
      <c r="F20" s="3"/>
      <c r="G20"/>
      <c r="H20"/>
      <c r="I20"/>
      <c r="J20"/>
      <c r="K20" s="357"/>
      <c r="L20" s="357"/>
      <c r="M20" s="357"/>
      <c r="N20" s="357"/>
      <c r="O20" s="357"/>
      <c r="P20" s="357"/>
      <c r="Q20" s="357"/>
      <c r="R20" s="357"/>
      <c r="S20" s="357"/>
      <c r="T20" s="357"/>
      <c r="U20" s="135"/>
      <c r="V20"/>
      <c r="W20"/>
      <c r="X20"/>
      <c r="Y20"/>
      <c r="Z20"/>
      <c r="AA20"/>
      <c r="AB20"/>
      <c r="AC20"/>
      <c r="AD20"/>
      <c r="AE20"/>
      <c r="AF20" s="135"/>
      <c r="AG20" s="135"/>
      <c r="AH20" s="135"/>
      <c r="AI20" s="135"/>
      <c r="AJ20" s="135"/>
      <c r="AK20" s="135"/>
      <c r="AL20" s="135"/>
      <c r="AM20" s="135"/>
      <c r="AN20" s="135"/>
      <c r="AO20" s="135"/>
      <c r="AP20" s="115"/>
    </row>
    <row r="21" spans="1:42" x14ac:dyDescent="0.2">
      <c r="A21"/>
      <c r="B21"/>
      <c r="C21"/>
      <c r="D21"/>
      <c r="E21"/>
      <c r="F21" s="3"/>
      <c r="G21"/>
      <c r="H21"/>
      <c r="I21"/>
      <c r="J21"/>
      <c r="K21" s="357"/>
      <c r="L21" s="357"/>
      <c r="M21" s="357"/>
      <c r="N21" s="357"/>
      <c r="O21" s="357"/>
      <c r="P21" s="357"/>
      <c r="Q21" s="357"/>
      <c r="R21" s="357"/>
      <c r="S21" s="357"/>
      <c r="T21" s="357"/>
      <c r="U21" s="135"/>
      <c r="V21"/>
      <c r="W21"/>
      <c r="X21"/>
      <c r="Y21"/>
      <c r="Z21"/>
      <c r="AA21"/>
      <c r="AB21"/>
      <c r="AC21"/>
      <c r="AD21"/>
      <c r="AE21"/>
      <c r="AF21" s="135"/>
      <c r="AG21" s="135"/>
      <c r="AH21" s="135"/>
      <c r="AI21" s="135"/>
      <c r="AJ21" s="135"/>
      <c r="AK21" s="135"/>
      <c r="AL21" s="135"/>
      <c r="AM21" s="135"/>
      <c r="AN21" s="135"/>
      <c r="AO21" s="135"/>
      <c r="AP21" s="115"/>
    </row>
    <row r="22" spans="1:42" x14ac:dyDescent="0.2">
      <c r="A22"/>
      <c r="B22"/>
      <c r="C22"/>
      <c r="D22"/>
      <c r="E22"/>
      <c r="F22" s="3"/>
      <c r="G22"/>
      <c r="H22"/>
      <c r="I22"/>
      <c r="J22"/>
      <c r="K22" s="357"/>
      <c r="L22" s="357"/>
      <c r="M22" s="357"/>
      <c r="N22" s="357"/>
      <c r="O22" s="357"/>
      <c r="P22" s="357"/>
      <c r="Q22" s="357"/>
      <c r="R22" s="357"/>
      <c r="S22" s="357"/>
      <c r="T22" s="357"/>
      <c r="U22" s="135"/>
      <c r="V22"/>
      <c r="W22"/>
      <c r="X22"/>
      <c r="Y22"/>
      <c r="Z22"/>
      <c r="AA22"/>
      <c r="AB22"/>
      <c r="AC22"/>
      <c r="AD22"/>
      <c r="AE22"/>
      <c r="AF22" s="135"/>
      <c r="AG22" s="135"/>
      <c r="AH22" s="135"/>
      <c r="AI22" s="135"/>
      <c r="AJ22" s="135"/>
      <c r="AK22" s="135"/>
      <c r="AL22" s="135"/>
      <c r="AM22" s="135"/>
      <c r="AN22" s="135"/>
      <c r="AO22" s="135"/>
      <c r="AP22" s="115"/>
    </row>
    <row r="23" spans="1:42" x14ac:dyDescent="0.2">
      <c r="A23"/>
      <c r="B23"/>
      <c r="C23"/>
      <c r="D23"/>
      <c r="E23"/>
      <c r="F23" s="3"/>
      <c r="G23"/>
      <c r="H23"/>
      <c r="I23"/>
      <c r="J23"/>
      <c r="K23" s="357"/>
      <c r="L23" s="357"/>
      <c r="M23" s="357"/>
      <c r="N23" s="357"/>
      <c r="O23" s="357"/>
      <c r="P23" s="357"/>
      <c r="Q23" s="357"/>
      <c r="R23" s="357"/>
      <c r="S23" s="357"/>
      <c r="T23" s="357"/>
      <c r="U23" s="135"/>
      <c r="V23"/>
      <c r="W23"/>
      <c r="X23"/>
      <c r="Y23"/>
      <c r="Z23"/>
      <c r="AA23"/>
      <c r="AB23"/>
      <c r="AC23"/>
      <c r="AD23"/>
      <c r="AE23"/>
      <c r="AF23" s="135"/>
      <c r="AG23" s="135"/>
      <c r="AH23" s="135"/>
      <c r="AI23" s="135"/>
      <c r="AJ23" s="135"/>
      <c r="AK23" s="135"/>
      <c r="AL23" s="135"/>
      <c r="AM23" s="135"/>
      <c r="AN23" s="135"/>
      <c r="AO23" s="135"/>
      <c r="AP23" s="115"/>
    </row>
    <row r="24" spans="1:42" x14ac:dyDescent="0.2">
      <c r="A24"/>
      <c r="B24"/>
      <c r="C24"/>
      <c r="D24"/>
      <c r="E24"/>
      <c r="F24" s="3"/>
      <c r="G24"/>
      <c r="H24"/>
      <c r="I24"/>
      <c r="J24"/>
      <c r="K24" s="358"/>
      <c r="L24" s="358"/>
      <c r="M24" s="358"/>
      <c r="N24" s="358"/>
      <c r="O24" s="358"/>
      <c r="P24" s="358"/>
      <c r="Q24" s="358"/>
      <c r="R24" s="358"/>
      <c r="S24" s="358"/>
      <c r="T24" s="358"/>
      <c r="U24" s="135"/>
      <c r="V24"/>
      <c r="W24"/>
      <c r="X24"/>
      <c r="Y24"/>
      <c r="Z24"/>
      <c r="AA24"/>
      <c r="AB24"/>
      <c r="AC24"/>
      <c r="AD24"/>
      <c r="AE24"/>
      <c r="AF24" s="135"/>
      <c r="AG24" s="135"/>
      <c r="AH24" s="135"/>
      <c r="AI24" s="135"/>
      <c r="AJ24" s="135"/>
      <c r="AK24" s="135"/>
      <c r="AL24" s="135"/>
      <c r="AM24" s="135"/>
      <c r="AN24" s="135"/>
      <c r="AO24" s="135"/>
      <c r="AP24" s="115"/>
    </row>
    <row r="25" spans="1:42" x14ac:dyDescent="0.2">
      <c r="A25"/>
      <c r="B25"/>
      <c r="C25"/>
      <c r="D25"/>
      <c r="E25"/>
      <c r="F25" s="3"/>
      <c r="G25"/>
      <c r="H25"/>
      <c r="I25"/>
      <c r="J25"/>
      <c r="K25" s="358"/>
      <c r="L25" s="358"/>
      <c r="M25" s="358"/>
      <c r="N25" s="358"/>
      <c r="O25" s="358"/>
      <c r="P25" s="358"/>
      <c r="Q25" s="358"/>
      <c r="R25" s="358"/>
      <c r="S25" s="358"/>
      <c r="T25" s="358"/>
      <c r="V25"/>
      <c r="W25"/>
      <c r="X25"/>
      <c r="Y25"/>
      <c r="Z25"/>
      <c r="AA25"/>
      <c r="AB25"/>
      <c r="AC25"/>
      <c r="AD25"/>
      <c r="AE25"/>
      <c r="AP25" s="115"/>
    </row>
    <row r="26" spans="1:42" x14ac:dyDescent="0.2">
      <c r="A26"/>
      <c r="B26"/>
      <c r="C26"/>
      <c r="D26"/>
      <c r="E26"/>
      <c r="F26" s="3"/>
      <c r="G26"/>
      <c r="H26"/>
      <c r="I26"/>
      <c r="J26"/>
      <c r="K26" s="358"/>
      <c r="L26" s="358"/>
      <c r="M26" s="358"/>
      <c r="N26" s="358"/>
      <c r="O26" s="358"/>
      <c r="P26" s="358"/>
      <c r="Q26" s="358"/>
      <c r="R26" s="358"/>
      <c r="S26" s="358"/>
      <c r="T26" s="358"/>
      <c r="V26"/>
      <c r="W26"/>
      <c r="X26"/>
      <c r="Y26"/>
      <c r="Z26"/>
      <c r="AA26"/>
      <c r="AB26"/>
      <c r="AC26"/>
      <c r="AD26"/>
      <c r="AE26"/>
      <c r="AP26" s="115"/>
    </row>
    <row r="27" spans="1:42" x14ac:dyDescent="0.2">
      <c r="A27"/>
      <c r="B27"/>
      <c r="C27"/>
      <c r="D27"/>
      <c r="E27"/>
      <c r="F27" s="3"/>
      <c r="G27"/>
      <c r="H27"/>
      <c r="I27"/>
      <c r="J27"/>
      <c r="K27" s="358"/>
      <c r="L27" s="358"/>
      <c r="M27" s="358"/>
      <c r="N27" s="358"/>
      <c r="O27" s="358"/>
      <c r="P27" s="358"/>
      <c r="Q27" s="358"/>
      <c r="R27" s="358"/>
      <c r="S27" s="358"/>
      <c r="T27" s="358"/>
      <c r="V27"/>
      <c r="W27"/>
      <c r="X27"/>
      <c r="Y27"/>
      <c r="Z27"/>
      <c r="AA27"/>
      <c r="AB27"/>
      <c r="AC27"/>
      <c r="AD27"/>
      <c r="AE27"/>
      <c r="AP27" s="115"/>
    </row>
    <row r="28" spans="1:42" x14ac:dyDescent="0.2">
      <c r="A28"/>
      <c r="B28"/>
      <c r="C28"/>
      <c r="D28"/>
      <c r="E28"/>
      <c r="F28" s="3"/>
      <c r="G28"/>
      <c r="H28"/>
      <c r="I28"/>
      <c r="J28"/>
      <c r="V28"/>
      <c r="W28"/>
      <c r="X28"/>
      <c r="Y28"/>
      <c r="Z28"/>
      <c r="AA28"/>
      <c r="AB28"/>
      <c r="AC28"/>
      <c r="AD28"/>
      <c r="AE28"/>
      <c r="AP28" s="115"/>
    </row>
    <row r="29" spans="1:42" x14ac:dyDescent="0.2">
      <c r="A29"/>
      <c r="B29"/>
      <c r="C29"/>
      <c r="D29"/>
      <c r="E29"/>
      <c r="F29" s="3"/>
      <c r="G29"/>
      <c r="H29"/>
      <c r="I29"/>
      <c r="J29"/>
      <c r="V29"/>
      <c r="W29"/>
      <c r="X29"/>
      <c r="Y29"/>
      <c r="Z29"/>
      <c r="AA29"/>
      <c r="AB29"/>
      <c r="AC29"/>
      <c r="AD29"/>
      <c r="AE29"/>
      <c r="AP29" s="115"/>
    </row>
    <row r="30" spans="1:42" x14ac:dyDescent="0.2">
      <c r="A30"/>
      <c r="B30"/>
      <c r="C30"/>
      <c r="D30"/>
      <c r="E30"/>
      <c r="F30" s="3"/>
      <c r="G30"/>
      <c r="H30"/>
      <c r="I30"/>
      <c r="J30"/>
      <c r="V30"/>
      <c r="W30"/>
      <c r="X30"/>
      <c r="Y30"/>
      <c r="Z30"/>
      <c r="AA30"/>
      <c r="AB30"/>
      <c r="AC30"/>
      <c r="AD30"/>
      <c r="AE30"/>
      <c r="AP30" s="115"/>
    </row>
    <row r="31" spans="1:42" x14ac:dyDescent="0.2">
      <c r="A31"/>
      <c r="B31"/>
      <c r="C31"/>
      <c r="D31"/>
      <c r="E31"/>
      <c r="F31" s="3"/>
      <c r="G31"/>
      <c r="H31"/>
      <c r="I31"/>
      <c r="J31"/>
      <c r="V31"/>
      <c r="W31"/>
      <c r="X31"/>
      <c r="Y31"/>
      <c r="Z31"/>
      <c r="AA31"/>
      <c r="AB31"/>
      <c r="AC31"/>
      <c r="AD31"/>
      <c r="AE31"/>
      <c r="AP31" s="115"/>
    </row>
    <row r="32" spans="1:42" x14ac:dyDescent="0.2">
      <c r="A32" s="135"/>
      <c r="B32" s="135"/>
      <c r="C32" s="135"/>
      <c r="D32" s="135"/>
      <c r="E32" s="123"/>
      <c r="F32" s="123"/>
      <c r="G32" s="135"/>
      <c r="H32" s="135"/>
      <c r="I32" s="135"/>
      <c r="J32" s="135"/>
      <c r="K32" s="184" t="s">
        <v>339</v>
      </c>
      <c r="L32" s="135"/>
      <c r="M32" s="135"/>
      <c r="N32" s="135"/>
      <c r="O32" s="135"/>
      <c r="P32" s="135"/>
      <c r="Q32" s="135"/>
      <c r="R32" s="135"/>
      <c r="S32" s="135"/>
      <c r="T32" s="135"/>
      <c r="V32"/>
      <c r="W32"/>
      <c r="X32"/>
      <c r="Y32"/>
      <c r="Z32"/>
      <c r="AA32"/>
      <c r="AB32"/>
      <c r="AC32"/>
      <c r="AD32"/>
      <c r="AE32"/>
      <c r="AP32" s="115"/>
    </row>
    <row r="33" spans="1:42" ht="45" customHeight="1" x14ac:dyDescent="0.2">
      <c r="A33" s="135"/>
      <c r="C33" s="135"/>
      <c r="D33" s="135"/>
      <c r="E33" s="123"/>
      <c r="F33" s="123"/>
      <c r="G33" s="135"/>
      <c r="H33" s="135"/>
      <c r="I33" s="135"/>
      <c r="J33" s="135"/>
      <c r="K33" s="505" t="s">
        <v>340</v>
      </c>
      <c r="L33" s="505"/>
      <c r="M33" s="505"/>
      <c r="N33" s="505"/>
      <c r="O33" s="505"/>
      <c r="P33" s="505"/>
      <c r="Q33" s="505"/>
      <c r="R33" s="505"/>
      <c r="S33" s="505"/>
      <c r="T33" s="505"/>
      <c r="V33"/>
      <c r="W33"/>
      <c r="X33"/>
      <c r="Y33"/>
      <c r="Z33"/>
      <c r="AA33"/>
      <c r="AB33"/>
      <c r="AC33"/>
      <c r="AD33"/>
      <c r="AE33"/>
      <c r="AP33" s="115"/>
    </row>
    <row r="34" spans="1:42" hidden="1" x14ac:dyDescent="0.2">
      <c r="A34" s="144" t="s">
        <v>96</v>
      </c>
      <c r="B34" s="135" t="s">
        <v>47</v>
      </c>
      <c r="C34" s="135"/>
      <c r="D34" s="135"/>
      <c r="E34" s="135"/>
      <c r="F34" s="123"/>
      <c r="G34" s="123"/>
      <c r="H34" s="123"/>
      <c r="I34" s="135"/>
      <c r="J34" s="135"/>
      <c r="K34" s="135"/>
      <c r="L34" s="135"/>
      <c r="M34" s="135"/>
      <c r="N34" s="135"/>
      <c r="O34" s="135"/>
      <c r="P34" s="135"/>
      <c r="Q34" s="135"/>
      <c r="R34" s="135"/>
      <c r="S34" s="135"/>
      <c r="T34" s="135"/>
      <c r="V34"/>
      <c r="W34"/>
      <c r="X34"/>
      <c r="Y34"/>
      <c r="Z34"/>
      <c r="AA34"/>
      <c r="AB34"/>
      <c r="AC34"/>
      <c r="AD34"/>
      <c r="AE34"/>
      <c r="AP34" s="115"/>
    </row>
    <row r="35" spans="1:42" hidden="1" x14ac:dyDescent="0.2">
      <c r="A35" s="144" t="s">
        <v>98</v>
      </c>
      <c r="B35" s="135" t="s">
        <v>47</v>
      </c>
      <c r="C35" s="135"/>
      <c r="D35" s="135"/>
      <c r="E35" s="135"/>
      <c r="F35" s="123"/>
      <c r="G35" s="123"/>
      <c r="H35" s="123"/>
      <c r="I35" s="135"/>
      <c r="J35" s="135"/>
      <c r="K35" s="135"/>
      <c r="L35" s="135"/>
      <c r="M35" s="135"/>
      <c r="N35" s="135"/>
      <c r="O35" s="135"/>
      <c r="P35" s="135"/>
      <c r="Q35" s="135"/>
      <c r="R35" s="135"/>
      <c r="S35" s="135"/>
      <c r="T35" s="135"/>
      <c r="V35"/>
      <c r="W35"/>
      <c r="X35"/>
      <c r="Y35"/>
      <c r="Z35"/>
      <c r="AA35"/>
      <c r="AB35"/>
      <c r="AC35"/>
      <c r="AD35"/>
      <c r="AE35"/>
      <c r="AP35" s="115"/>
    </row>
    <row r="36" spans="1:42" ht="15.75" x14ac:dyDescent="0.2">
      <c r="A36" s="506" t="s">
        <v>85</v>
      </c>
      <c r="B36" s="506"/>
      <c r="C36" s="506"/>
      <c r="D36" s="506"/>
      <c r="E36" s="506"/>
      <c r="F36" s="506"/>
      <c r="G36" s="506"/>
      <c r="H36" s="506"/>
      <c r="I36" s="506"/>
      <c r="J36" s="506"/>
      <c r="K36" s="170"/>
      <c r="L36" s="170"/>
      <c r="M36" s="170"/>
      <c r="N36" s="170"/>
      <c r="O36" s="170"/>
      <c r="P36" s="170"/>
      <c r="Q36" s="170"/>
      <c r="R36" s="170"/>
      <c r="S36" s="170"/>
      <c r="T36" s="170"/>
      <c r="V36"/>
      <c r="W36"/>
      <c r="X36"/>
      <c r="Y36"/>
      <c r="Z36"/>
      <c r="AA36"/>
      <c r="AB36"/>
      <c r="AC36"/>
      <c r="AD36"/>
      <c r="AE36"/>
      <c r="AP36" s="115"/>
    </row>
    <row r="37" spans="1:42" ht="114.75" x14ac:dyDescent="0.2">
      <c r="A37" s="144" t="s">
        <v>510</v>
      </c>
      <c r="B37" s="145" t="s">
        <v>86</v>
      </c>
      <c r="C37" s="145" t="s">
        <v>87</v>
      </c>
      <c r="D37" s="145" t="s">
        <v>88</v>
      </c>
      <c r="E37" s="144" t="s">
        <v>89</v>
      </c>
      <c r="F37" s="144" t="s">
        <v>90</v>
      </c>
      <c r="G37" s="145" t="s">
        <v>95</v>
      </c>
      <c r="H37" s="145" t="s">
        <v>644</v>
      </c>
      <c r="I37" s="144" t="s">
        <v>201</v>
      </c>
      <c r="J37" s="145" t="s">
        <v>92</v>
      </c>
      <c r="K37" s="183" t="s">
        <v>341</v>
      </c>
      <c r="L37" s="183" t="s">
        <v>342</v>
      </c>
      <c r="M37" s="183" t="s">
        <v>343</v>
      </c>
      <c r="N37" s="183" t="s">
        <v>344</v>
      </c>
      <c r="O37" s="183" t="s">
        <v>345</v>
      </c>
      <c r="P37" s="183" t="s">
        <v>346</v>
      </c>
      <c r="Q37" s="183" t="s">
        <v>347</v>
      </c>
      <c r="R37" s="183" t="s">
        <v>92</v>
      </c>
      <c r="S37" s="183" t="s">
        <v>348</v>
      </c>
      <c r="T37" s="183" t="s">
        <v>349</v>
      </c>
      <c r="V37"/>
      <c r="W37"/>
      <c r="X37"/>
      <c r="Y37"/>
      <c r="Z37"/>
      <c r="AA37"/>
      <c r="AB37"/>
      <c r="AC37"/>
      <c r="AD37"/>
      <c r="AE37"/>
      <c r="AP37" s="115"/>
    </row>
    <row r="38" spans="1:42" x14ac:dyDescent="0.2">
      <c r="A38" s="135">
        <v>0</v>
      </c>
      <c r="B38" s="135">
        <v>0</v>
      </c>
      <c r="C38" s="135">
        <v>0</v>
      </c>
      <c r="D38" s="135">
        <v>0</v>
      </c>
      <c r="E38" s="135">
        <v>0</v>
      </c>
      <c r="F38" s="146">
        <v>0</v>
      </c>
      <c r="G38" s="123">
        <v>0</v>
      </c>
      <c r="H38" s="135">
        <v>0</v>
      </c>
      <c r="I38" s="135">
        <v>0</v>
      </c>
      <c r="J38" s="123">
        <v>0</v>
      </c>
      <c r="K38" s="135"/>
      <c r="L38" s="135"/>
      <c r="M38" s="135"/>
      <c r="N38" s="135"/>
      <c r="O38" s="135"/>
      <c r="P38" s="135"/>
      <c r="Q38" s="135"/>
      <c r="R38" s="135"/>
      <c r="S38" s="135"/>
      <c r="T38" s="135"/>
      <c r="V38"/>
      <c r="W38"/>
      <c r="X38"/>
      <c r="Y38"/>
      <c r="Z38"/>
      <c r="AA38"/>
      <c r="AB38"/>
      <c r="AC38"/>
      <c r="AD38"/>
      <c r="AE38"/>
      <c r="AP38" s="115"/>
    </row>
    <row r="39" spans="1:42" x14ac:dyDescent="0.2">
      <c r="A39" s="123" t="s">
        <v>103</v>
      </c>
      <c r="B39" s="123"/>
      <c r="C39" s="123"/>
      <c r="D39" s="123"/>
      <c r="E39" s="123"/>
      <c r="F39" s="123"/>
      <c r="G39" s="123"/>
      <c r="H39" s="123"/>
      <c r="I39" s="123"/>
      <c r="J39" s="123"/>
      <c r="K39" s="357"/>
      <c r="L39" s="357"/>
      <c r="M39" s="357"/>
      <c r="N39" s="357"/>
      <c r="O39" s="357"/>
      <c r="P39" s="357"/>
      <c r="Q39" s="357"/>
      <c r="R39" s="357"/>
      <c r="S39" s="357"/>
      <c r="T39" s="357"/>
      <c r="V39"/>
      <c r="W39"/>
      <c r="X39"/>
      <c r="Y39"/>
      <c r="Z39"/>
      <c r="AA39"/>
      <c r="AB39"/>
      <c r="AC39"/>
      <c r="AD39"/>
      <c r="AE39"/>
      <c r="AP39" s="115"/>
    </row>
    <row r="40" spans="1:42" x14ac:dyDescent="0.2">
      <c r="A40"/>
      <c r="B40"/>
      <c r="C40"/>
      <c r="D40"/>
      <c r="E40"/>
      <c r="F40"/>
      <c r="G40"/>
      <c r="H40"/>
      <c r="I40"/>
      <c r="J40"/>
      <c r="K40" s="357"/>
      <c r="L40" s="357"/>
      <c r="M40" s="357"/>
      <c r="N40" s="357"/>
      <c r="O40" s="357"/>
      <c r="P40" s="357"/>
      <c r="Q40" s="357"/>
      <c r="R40" s="357"/>
      <c r="S40" s="357"/>
      <c r="T40" s="357"/>
      <c r="V40"/>
      <c r="W40"/>
      <c r="X40"/>
      <c r="Y40"/>
      <c r="Z40"/>
      <c r="AA40"/>
      <c r="AB40"/>
      <c r="AC40"/>
      <c r="AD40"/>
      <c r="AE40"/>
      <c r="AP40" s="115"/>
    </row>
    <row r="41" spans="1:42" x14ac:dyDescent="0.2">
      <c r="A41"/>
      <c r="B41"/>
      <c r="C41"/>
      <c r="D41"/>
      <c r="E41"/>
      <c r="F41"/>
      <c r="G41"/>
      <c r="H41"/>
      <c r="I41"/>
      <c r="J41"/>
      <c r="K41" s="357"/>
      <c r="L41" s="357"/>
      <c r="M41" s="357"/>
      <c r="N41" s="357"/>
      <c r="O41" s="357"/>
      <c r="P41" s="357"/>
      <c r="Q41" s="357"/>
      <c r="R41" s="357"/>
      <c r="S41" s="357"/>
      <c r="T41" s="357"/>
      <c r="V41"/>
      <c r="W41"/>
      <c r="X41"/>
      <c r="Y41"/>
      <c r="Z41"/>
      <c r="AA41"/>
      <c r="AB41"/>
      <c r="AC41"/>
      <c r="AD41"/>
      <c r="AE41"/>
      <c r="AP41" s="115"/>
    </row>
    <row r="42" spans="1:42" x14ac:dyDescent="0.2">
      <c r="A42"/>
      <c r="B42"/>
      <c r="C42"/>
      <c r="D42"/>
      <c r="E42"/>
      <c r="F42"/>
      <c r="G42"/>
      <c r="H42"/>
      <c r="I42"/>
      <c r="J42"/>
      <c r="K42" s="357"/>
      <c r="L42" s="357"/>
      <c r="M42" s="357"/>
      <c r="N42" s="357"/>
      <c r="O42" s="357"/>
      <c r="P42" s="357"/>
      <c r="Q42" s="357"/>
      <c r="R42" s="357"/>
      <c r="S42" s="357"/>
      <c r="T42" s="357"/>
      <c r="V42"/>
      <c r="W42"/>
      <c r="X42"/>
      <c r="Y42"/>
      <c r="Z42"/>
      <c r="AA42"/>
      <c r="AB42"/>
      <c r="AC42"/>
      <c r="AD42"/>
      <c r="AE42"/>
      <c r="AP42" s="115"/>
    </row>
    <row r="43" spans="1:42" x14ac:dyDescent="0.2">
      <c r="A43"/>
      <c r="B43"/>
      <c r="C43"/>
      <c r="D43"/>
      <c r="E43"/>
      <c r="F43" s="3"/>
      <c r="G43"/>
      <c r="H43"/>
      <c r="I43"/>
      <c r="J43"/>
      <c r="K43" s="357"/>
      <c r="L43" s="357"/>
      <c r="M43" s="357"/>
      <c r="N43" s="357"/>
      <c r="O43" s="357"/>
      <c r="P43" s="357"/>
      <c r="Q43" s="357"/>
      <c r="R43" s="357"/>
      <c r="S43" s="357"/>
      <c r="T43" s="357"/>
      <c r="V43"/>
      <c r="W43"/>
      <c r="X43"/>
      <c r="Y43"/>
      <c r="Z43"/>
      <c r="AA43"/>
      <c r="AB43"/>
      <c r="AC43"/>
      <c r="AD43"/>
      <c r="AE43"/>
      <c r="AP43" s="115"/>
    </row>
    <row r="44" spans="1:42" x14ac:dyDescent="0.2">
      <c r="A44"/>
      <c r="B44"/>
      <c r="C44"/>
      <c r="D44"/>
      <c r="E44"/>
      <c r="F44" s="3"/>
      <c r="G44"/>
      <c r="H44"/>
      <c r="I44"/>
      <c r="J44"/>
      <c r="K44" s="357"/>
      <c r="L44" s="357"/>
      <c r="M44" s="357"/>
      <c r="N44" s="357"/>
      <c r="O44" s="357"/>
      <c r="P44" s="357"/>
      <c r="Q44" s="357"/>
      <c r="R44" s="357"/>
      <c r="S44" s="357"/>
      <c r="T44" s="357"/>
      <c r="V44"/>
      <c r="W44"/>
      <c r="X44"/>
      <c r="Y44"/>
      <c r="Z44"/>
      <c r="AA44"/>
      <c r="AB44"/>
      <c r="AC44"/>
      <c r="AD44"/>
      <c r="AE44"/>
      <c r="AP44"/>
    </row>
    <row r="45" spans="1:42" x14ac:dyDescent="0.2">
      <c r="A45"/>
      <c r="B45"/>
      <c r="C45"/>
      <c r="D45"/>
      <c r="E45"/>
      <c r="F45" s="3"/>
      <c r="G45"/>
      <c r="H45"/>
      <c r="I45"/>
      <c r="J45"/>
      <c r="K45" s="357"/>
      <c r="L45" s="357"/>
      <c r="M45" s="357"/>
      <c r="N45" s="357"/>
      <c r="O45" s="357"/>
      <c r="P45" s="357"/>
      <c r="Q45" s="357"/>
      <c r="R45" s="357"/>
      <c r="S45" s="357"/>
      <c r="T45" s="357"/>
      <c r="AB45" s="10"/>
      <c r="AC45" s="10"/>
    </row>
    <row r="46" spans="1:42" x14ac:dyDescent="0.2">
      <c r="A46"/>
      <c r="B46"/>
      <c r="C46"/>
      <c r="D46"/>
      <c r="E46"/>
      <c r="F46" s="3"/>
      <c r="G46"/>
      <c r="H46"/>
      <c r="I46"/>
      <c r="J46"/>
      <c r="K46" s="357"/>
      <c r="L46" s="357"/>
      <c r="M46" s="357"/>
      <c r="N46" s="357"/>
      <c r="O46" s="357"/>
      <c r="P46" s="357"/>
      <c r="Q46" s="357"/>
      <c r="R46" s="357"/>
      <c r="S46" s="357"/>
      <c r="T46" s="357"/>
      <c r="AB46" s="10"/>
      <c r="AC46" s="10"/>
    </row>
    <row r="47" spans="1:42" x14ac:dyDescent="0.2">
      <c r="A47"/>
      <c r="B47"/>
      <c r="C47"/>
      <c r="D47"/>
      <c r="E47"/>
      <c r="F47" s="3"/>
      <c r="G47"/>
      <c r="H47"/>
      <c r="I47"/>
      <c r="J47"/>
      <c r="K47" s="357"/>
      <c r="L47" s="357"/>
      <c r="M47" s="357"/>
      <c r="N47" s="357"/>
      <c r="O47" s="357"/>
      <c r="P47" s="357"/>
      <c r="Q47" s="357"/>
      <c r="R47" s="357"/>
      <c r="S47" s="357"/>
      <c r="T47" s="357"/>
      <c r="AB47" s="10"/>
      <c r="AC47" s="10"/>
    </row>
    <row r="48" spans="1:42" x14ac:dyDescent="0.2">
      <c r="A48"/>
      <c r="B48"/>
      <c r="C48"/>
      <c r="D48"/>
      <c r="E48"/>
      <c r="F48" s="3"/>
      <c r="G48"/>
      <c r="H48"/>
      <c r="I48"/>
      <c r="J48"/>
      <c r="K48" s="358"/>
      <c r="L48" s="358"/>
      <c r="M48" s="358"/>
      <c r="N48" s="358"/>
      <c r="O48" s="358"/>
      <c r="P48" s="358"/>
      <c r="Q48" s="358"/>
      <c r="R48" s="358"/>
      <c r="S48" s="358"/>
      <c r="T48" s="358"/>
      <c r="AB48" s="10"/>
      <c r="AC48" s="10"/>
    </row>
    <row r="49" spans="1:29" x14ac:dyDescent="0.2">
      <c r="A49"/>
      <c r="B49"/>
      <c r="C49"/>
      <c r="D49"/>
      <c r="E49"/>
      <c r="F49" s="3"/>
      <c r="G49"/>
      <c r="H49"/>
      <c r="I49"/>
      <c r="J49"/>
      <c r="K49" s="358"/>
      <c r="L49" s="358"/>
      <c r="M49" s="358"/>
      <c r="N49" s="358"/>
      <c r="O49" s="358"/>
      <c r="P49" s="358"/>
      <c r="Q49" s="358"/>
      <c r="R49" s="358"/>
      <c r="S49" s="358"/>
      <c r="T49" s="358"/>
      <c r="AB49" s="10"/>
      <c r="AC49" s="10"/>
    </row>
    <row r="50" spans="1:29" x14ac:dyDescent="0.2">
      <c r="A50"/>
      <c r="B50"/>
      <c r="C50"/>
      <c r="D50"/>
      <c r="E50"/>
      <c r="F50" s="3"/>
      <c r="G50"/>
      <c r="H50"/>
      <c r="I50"/>
      <c r="J50"/>
      <c r="K50" s="358"/>
      <c r="L50" s="358"/>
      <c r="M50" s="358"/>
      <c r="N50" s="358"/>
      <c r="O50" s="358"/>
      <c r="P50" s="358"/>
      <c r="Q50" s="358"/>
      <c r="R50" s="358"/>
      <c r="S50" s="358"/>
      <c r="T50" s="358"/>
      <c r="AB50" s="10"/>
      <c r="AC50" s="10"/>
    </row>
    <row r="51" spans="1:29" x14ac:dyDescent="0.2">
      <c r="A51"/>
      <c r="B51"/>
      <c r="C51"/>
      <c r="D51"/>
      <c r="E51"/>
      <c r="F51" s="3"/>
      <c r="G51"/>
      <c r="H51"/>
      <c r="I51"/>
      <c r="J51"/>
      <c r="K51" s="358"/>
      <c r="L51" s="358"/>
      <c r="M51" s="358"/>
      <c r="N51" s="358"/>
      <c r="O51" s="358"/>
      <c r="P51" s="358"/>
      <c r="Q51" s="358"/>
      <c r="R51" s="358"/>
      <c r="S51" s="358"/>
      <c r="T51" s="358"/>
      <c r="AB51" s="10"/>
      <c r="AC51" s="10"/>
    </row>
    <row r="52" spans="1:29" x14ac:dyDescent="0.2">
      <c r="A52"/>
      <c r="B52"/>
      <c r="C52"/>
      <c r="D52"/>
      <c r="E52"/>
      <c r="F52" s="3"/>
      <c r="G52"/>
      <c r="H52"/>
      <c r="I52"/>
      <c r="J52"/>
      <c r="AB52" s="10"/>
      <c r="AC52" s="10"/>
    </row>
    <row r="53" spans="1:29" x14ac:dyDescent="0.2">
      <c r="G53" s="48"/>
      <c r="H53" s="10"/>
      <c r="AB53" s="10"/>
      <c r="AC53" s="10"/>
    </row>
    <row r="54" spans="1:29" x14ac:dyDescent="0.2">
      <c r="G54" s="48"/>
      <c r="H54" s="10"/>
    </row>
    <row r="55" spans="1:29" x14ac:dyDescent="0.2">
      <c r="G55" s="48"/>
      <c r="H55" s="10"/>
    </row>
    <row r="56" spans="1:29" x14ac:dyDescent="0.2">
      <c r="G56" s="48"/>
      <c r="H56" s="10"/>
    </row>
  </sheetData>
  <sheetProtection algorithmName="SHA-512" hashValue="A9V2nireUyd4+sNrEi8iFiILw7l8HuLpdCTRD5m4FdVEY9DRzn47+0B2Oiy5iU+prj/9Af1RNu/lJRHFywomVA==" saltValue="Fb9RQI29cXai+eSnT48G0w==" spinCount="100000" sheet="1" objects="1" scenarios="1"/>
  <dataConsolidate function="count"/>
  <mergeCells count="16">
    <mergeCell ref="A1:J1"/>
    <mergeCell ref="A12:J12"/>
    <mergeCell ref="I3:J3"/>
    <mergeCell ref="I4:J4"/>
    <mergeCell ref="I5:J5"/>
    <mergeCell ref="A3:C3"/>
    <mergeCell ref="A4:C4"/>
    <mergeCell ref="G3:H3"/>
    <mergeCell ref="G4:H4"/>
    <mergeCell ref="G5:H5"/>
    <mergeCell ref="K33:T33"/>
    <mergeCell ref="A36:J36"/>
    <mergeCell ref="A5:C5"/>
    <mergeCell ref="AF8:AO8"/>
    <mergeCell ref="V9:AE9"/>
    <mergeCell ref="K9:T9"/>
  </mergeCells>
  <pageMargins left="0.7" right="0.2" top="1" bottom="0.75" header="0.3" footer="0.3"/>
  <pageSetup scale="88" orientation="landscape" r:id="rId4"/>
  <headerFooter>
    <oddHeader>&amp;CConfidential QI Report
San Diego County Mental Health Plan
Behavioral Health Services
Fiscal Year 23-24</oddHeader>
    <oddFooter>&amp;LFY 23-24 Medical Record Review Report - Excel - Rev. 7-1-23</oddFooter>
  </headerFooter>
  <rowBreaks count="1" manualBreakCount="1">
    <brk id="31" max="19" man="1"/>
  </rowBreaks>
  <colBreaks count="2" manualBreakCount="2">
    <brk id="20" max="1048575" man="1"/>
    <brk id="31"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870E7-1298-4966-B729-3BD631FF0814}">
  <sheetPr>
    <pageSetUpPr fitToPage="1"/>
  </sheetPr>
  <dimension ref="A1:W14"/>
  <sheetViews>
    <sheetView view="pageBreakPreview" zoomScale="90" zoomScaleNormal="100" zoomScaleSheetLayoutView="90" workbookViewId="0">
      <selection activeCell="P1" sqref="P1:Y1048576"/>
    </sheetView>
  </sheetViews>
  <sheetFormatPr defaultRowHeight="12.75" x14ac:dyDescent="0.2"/>
  <cols>
    <col min="1" max="16" width="9.140625" style="180"/>
    <col min="17" max="17" width="9.140625" style="180" customWidth="1"/>
    <col min="18" max="18" width="5.85546875" style="180" customWidth="1"/>
    <col min="19" max="20" width="9.140625" style="180" customWidth="1"/>
    <col min="21" max="21" width="11" style="180" customWidth="1"/>
    <col min="22" max="24" width="9.140625" style="180" customWidth="1"/>
    <col min="25" max="16384" width="9.140625" style="180"/>
  </cols>
  <sheetData>
    <row r="1" spans="1:23" s="240" customFormat="1" ht="13.5" customHeight="1" x14ac:dyDescent="0.2">
      <c r="B1" s="241"/>
      <c r="D1" s="525"/>
      <c r="E1" s="525"/>
      <c r="G1" s="242"/>
      <c r="H1" s="241"/>
      <c r="I1" s="243"/>
      <c r="J1" s="243"/>
      <c r="K1" s="241"/>
      <c r="M1" s="241"/>
      <c r="N1" s="241"/>
      <c r="O1" s="241"/>
      <c r="P1" s="244"/>
    </row>
    <row r="2" spans="1:23" s="240" customFormat="1" ht="18" customHeight="1" x14ac:dyDescent="0.2">
      <c r="A2" s="245"/>
      <c r="B2" s="246"/>
      <c r="C2" s="241" t="s">
        <v>38</v>
      </c>
      <c r="D2" s="245"/>
      <c r="E2" s="526">
        <f>'Chart Review Info'!D4</f>
        <v>0</v>
      </c>
      <c r="F2" s="526"/>
      <c r="G2" s="526"/>
      <c r="H2" s="526"/>
      <c r="I2" s="526"/>
      <c r="J2" s="526"/>
      <c r="K2" s="247"/>
      <c r="M2" s="241" t="s">
        <v>401</v>
      </c>
      <c r="N2" s="247"/>
      <c r="O2" s="527">
        <f>'Chart Review Info'!D5</f>
        <v>0</v>
      </c>
      <c r="P2" s="527"/>
    </row>
    <row r="3" spans="1:23" s="240" customFormat="1" ht="19.5" customHeight="1" x14ac:dyDescent="0.2">
      <c r="A3" s="245"/>
      <c r="C3" s="241"/>
      <c r="D3" s="241"/>
      <c r="E3" s="241"/>
      <c r="F3" s="241"/>
      <c r="G3" s="241"/>
      <c r="I3" s="525" t="s">
        <v>402</v>
      </c>
      <c r="J3" s="525"/>
      <c r="K3" s="248"/>
      <c r="L3" s="525" t="s">
        <v>260</v>
      </c>
      <c r="M3" s="525"/>
      <c r="N3" s="525"/>
      <c r="O3" s="525"/>
      <c r="P3" s="525"/>
    </row>
    <row r="4" spans="1:23" s="240" customFormat="1" ht="18.75" customHeight="1" x14ac:dyDescent="0.2">
      <c r="A4" s="245"/>
      <c r="I4" s="523">
        <f>'Chart Review Info'!G3</f>
        <v>0</v>
      </c>
      <c r="J4" s="523"/>
      <c r="L4" s="524">
        <f>'Chart Review Info'!G4</f>
        <v>0</v>
      </c>
      <c r="M4" s="524"/>
      <c r="N4" s="249" t="s">
        <v>261</v>
      </c>
      <c r="O4" s="524">
        <f>'Chart Review Info'!G5</f>
        <v>0</v>
      </c>
      <c r="P4" s="524"/>
    </row>
    <row r="5" spans="1:23" s="251" customFormat="1" ht="12.75" customHeight="1" x14ac:dyDescent="0.2">
      <c r="A5" s="245"/>
      <c r="B5" s="516"/>
      <c r="C5" s="516"/>
      <c r="D5" s="516"/>
      <c r="E5" s="516"/>
      <c r="F5" s="516"/>
      <c r="G5" s="516"/>
      <c r="H5" s="516"/>
      <c r="I5" s="516"/>
      <c r="J5" s="516"/>
      <c r="K5" s="516"/>
      <c r="L5" s="516"/>
      <c r="M5" s="516"/>
      <c r="N5" s="516"/>
      <c r="O5" s="516"/>
      <c r="P5" s="516"/>
      <c r="Q5" s="250"/>
    </row>
    <row r="6" spans="1:23" s="251" customFormat="1" ht="29.1" customHeight="1" x14ac:dyDescent="0.2">
      <c r="A6" s="252"/>
      <c r="B6" s="517" t="s">
        <v>403</v>
      </c>
      <c r="C6" s="518"/>
      <c r="D6" s="518"/>
      <c r="E6" s="518"/>
      <c r="F6" s="518"/>
      <c r="G6" s="518"/>
      <c r="H6" s="518"/>
      <c r="I6" s="518"/>
      <c r="J6" s="518"/>
      <c r="K6" s="518"/>
      <c r="L6" s="518"/>
      <c r="M6" s="518"/>
      <c r="N6" s="253" t="s">
        <v>47</v>
      </c>
      <c r="O6" s="253" t="s">
        <v>255</v>
      </c>
      <c r="P6" s="253" t="s">
        <v>17</v>
      </c>
      <c r="Q6" s="250"/>
      <c r="T6" s="361" t="s">
        <v>558</v>
      </c>
      <c r="U6" s="361" t="s">
        <v>559</v>
      </c>
      <c r="V6" s="361" t="s">
        <v>560</v>
      </c>
      <c r="W6" s="361" t="s">
        <v>561</v>
      </c>
    </row>
    <row r="7" spans="1:23" s="251" customFormat="1" ht="37.35" customHeight="1" x14ac:dyDescent="0.2">
      <c r="A7" s="254">
        <v>1</v>
      </c>
      <c r="B7" s="519" t="s">
        <v>404</v>
      </c>
      <c r="C7" s="519"/>
      <c r="D7" s="519"/>
      <c r="E7" s="519"/>
      <c r="F7" s="519"/>
      <c r="G7" s="519"/>
      <c r="H7" s="519"/>
      <c r="I7" s="519"/>
      <c r="J7" s="519"/>
      <c r="K7" s="519"/>
      <c r="L7" s="519"/>
      <c r="M7" s="519"/>
      <c r="N7" s="255"/>
      <c r="O7" s="255"/>
      <c r="P7" s="255"/>
      <c r="Q7" s="256">
        <f t="shared" ref="Q7:Q9" si="0">COUNTIF(N7:P7,"x")</f>
        <v>0</v>
      </c>
      <c r="R7" s="257" t="str">
        <f t="array" ref="R7">IF(AND(N7="x",O7=0,P7=0),"y",IF(AND(N7=0,O7="x",P7=0),"n",IF(AND(N7=0,O7=0,P7="x"),"na",IF(AND(N7=0,O7=0,P7=0),""))))</f>
        <v/>
      </c>
      <c r="T7" s="361">
        <f>COUNTIF(R7:R9,"y")</f>
        <v>0</v>
      </c>
      <c r="U7" s="361">
        <f>COUNTIF(R7:R9,"n")</f>
        <v>0</v>
      </c>
      <c r="V7" s="361">
        <f>SUM(T7:U7)</f>
        <v>0</v>
      </c>
      <c r="W7" s="362" t="e">
        <f>T7/V7</f>
        <v>#DIV/0!</v>
      </c>
    </row>
    <row r="8" spans="1:23" s="251" customFormat="1" ht="37.35" customHeight="1" x14ac:dyDescent="0.2">
      <c r="A8" s="254">
        <v>2</v>
      </c>
      <c r="B8" s="519" t="s">
        <v>405</v>
      </c>
      <c r="C8" s="520"/>
      <c r="D8" s="520"/>
      <c r="E8" s="520"/>
      <c r="F8" s="520"/>
      <c r="G8" s="520"/>
      <c r="H8" s="520"/>
      <c r="I8" s="520"/>
      <c r="J8" s="520"/>
      <c r="K8" s="520"/>
      <c r="L8" s="520"/>
      <c r="M8" s="520"/>
      <c r="N8" s="255"/>
      <c r="O8" s="255"/>
      <c r="P8" s="255"/>
      <c r="Q8" s="256">
        <f t="shared" si="0"/>
        <v>0</v>
      </c>
      <c r="R8" s="257" t="str">
        <f t="array" ref="R8">IF(AND(N8="x",O8=0,P8=0),"y",IF(AND(N8=0,O8="x",P8=0),"n",IF(AND(N8=0,O8=0,P8="x"),"na",IF(AND(N8=0,O8=0,P8=0),""))))</f>
        <v/>
      </c>
    </row>
    <row r="9" spans="1:23" s="251" customFormat="1" ht="37.35" customHeight="1" x14ac:dyDescent="0.2">
      <c r="A9" s="254">
        <v>3</v>
      </c>
      <c r="B9" s="519" t="s">
        <v>406</v>
      </c>
      <c r="C9" s="519"/>
      <c r="D9" s="519"/>
      <c r="E9" s="519"/>
      <c r="F9" s="519"/>
      <c r="G9" s="519"/>
      <c r="H9" s="519"/>
      <c r="I9" s="519"/>
      <c r="J9" s="519"/>
      <c r="K9" s="519"/>
      <c r="L9" s="519"/>
      <c r="M9" s="519"/>
      <c r="N9" s="255"/>
      <c r="O9" s="258"/>
      <c r="P9" s="258"/>
      <c r="Q9" s="256">
        <f t="shared" si="0"/>
        <v>0</v>
      </c>
      <c r="R9" s="259" t="str">
        <f t="array" ref="R9">IF(AND(N9="x",O9=0,P9=0),"y",IF(AND(N9=0,O9="x",P9=0),"n",IF(AND(N9=0,O9=0,P9="x"),"na",IF(AND(N9=0,O9=0,P9=0),""))))</f>
        <v/>
      </c>
    </row>
    <row r="10" spans="1:23" s="251" customFormat="1" ht="12.75" hidden="1" customHeight="1" x14ac:dyDescent="0.2">
      <c r="A10" s="254"/>
      <c r="B10" s="260"/>
      <c r="C10" s="260"/>
      <c r="D10" s="260"/>
      <c r="E10" s="260"/>
      <c r="F10" s="260"/>
      <c r="G10" s="260"/>
      <c r="H10" s="260"/>
      <c r="I10" s="260"/>
      <c r="J10" s="260"/>
      <c r="K10" s="260"/>
      <c r="L10" s="260">
        <f>P10</f>
        <v>0</v>
      </c>
      <c r="M10" s="260">
        <f>SUM(N10:O10)</f>
        <v>0</v>
      </c>
      <c r="N10" s="254">
        <f>COUNTIF(N7:N9,"x")</f>
        <v>0</v>
      </c>
      <c r="O10" s="254">
        <f>COUNTIF(O7:O9,"x")</f>
        <v>0</v>
      </c>
      <c r="P10" s="254">
        <f>COUNTIF(P7:P9,"x")</f>
        <v>0</v>
      </c>
    </row>
    <row r="11" spans="1:23" s="251" customFormat="1" ht="12.75" hidden="1" customHeight="1" x14ac:dyDescent="0.2">
      <c r="A11" s="254"/>
      <c r="B11" s="260"/>
      <c r="C11" s="260"/>
      <c r="D11" s="260"/>
      <c r="E11" s="260"/>
      <c r="F11" s="260"/>
      <c r="G11" s="260"/>
      <c r="H11" s="260"/>
      <c r="I11" s="260"/>
      <c r="J11" s="260"/>
      <c r="K11" s="260"/>
      <c r="L11" s="260"/>
      <c r="M11" s="260"/>
      <c r="N11" s="261" t="str">
        <f t="array" ref="N11">IF(AND(K10&gt;1,L10=0),"NA",IF(L10=0,"",M10/L10))</f>
        <v/>
      </c>
      <c r="O11" s="261" t="str">
        <f>IF(AND(L10&gt;1,M10=0),"NA",IF(M10=0,"",N10/M10))</f>
        <v/>
      </c>
      <c r="P11" s="254"/>
    </row>
    <row r="12" spans="1:23" s="251" customFormat="1" ht="17.25" hidden="1" customHeight="1" x14ac:dyDescent="0.25">
      <c r="A12" s="262"/>
      <c r="B12" s="521" t="s">
        <v>184</v>
      </c>
      <c r="C12" s="522"/>
      <c r="D12" s="522"/>
      <c r="E12" s="522"/>
      <c r="F12" s="522"/>
      <c r="G12" s="522"/>
      <c r="H12" s="522"/>
      <c r="I12" s="522"/>
      <c r="J12" s="522"/>
      <c r="K12" s="522"/>
      <c r="L12" s="522"/>
      <c r="M12" s="522"/>
      <c r="N12" s="263">
        <f>N10</f>
        <v>0</v>
      </c>
      <c r="O12" s="263">
        <f>O10</f>
        <v>0</v>
      </c>
      <c r="P12" s="263">
        <f>P10</f>
        <v>0</v>
      </c>
      <c r="Q12" s="264">
        <f>SUM(N10:P10)</f>
        <v>0</v>
      </c>
      <c r="S12" s="264"/>
    </row>
    <row r="13" spans="1:23" s="251" customFormat="1" ht="20.100000000000001" hidden="1" customHeight="1" x14ac:dyDescent="0.2">
      <c r="A13" s="262"/>
      <c r="B13" s="512" t="s">
        <v>399</v>
      </c>
      <c r="C13" s="513"/>
      <c r="D13" s="513"/>
      <c r="E13" s="513"/>
      <c r="F13" s="513"/>
      <c r="G13" s="513"/>
      <c r="H13" s="513"/>
      <c r="I13" s="513"/>
      <c r="J13" s="513"/>
      <c r="K13" s="513"/>
      <c r="L13" s="513"/>
      <c r="M13" s="513"/>
      <c r="N13" s="513"/>
      <c r="O13" s="265" t="str">
        <f>O11</f>
        <v/>
      </c>
      <c r="P13" s="266"/>
      <c r="Q13" s="267" t="s">
        <v>407</v>
      </c>
      <c r="S13" s="240"/>
    </row>
    <row r="14" spans="1:23" s="251" customFormat="1" ht="48.75" customHeight="1" x14ac:dyDescent="0.2">
      <c r="A14" s="262"/>
      <c r="B14" s="514" t="s">
        <v>408</v>
      </c>
      <c r="C14" s="515"/>
      <c r="D14" s="515"/>
      <c r="E14" s="515"/>
      <c r="F14" s="515"/>
      <c r="G14" s="515"/>
      <c r="H14" s="515"/>
      <c r="I14" s="515"/>
      <c r="J14" s="515"/>
      <c r="K14" s="515"/>
      <c r="L14" s="515"/>
      <c r="M14" s="515"/>
      <c r="N14" s="515"/>
      <c r="O14" s="515"/>
      <c r="P14" s="515"/>
      <c r="Q14" s="267"/>
    </row>
  </sheetData>
  <sheetProtection algorithmName="SHA-512" hashValue="4O4TcRK+xQjrhURs1ha0OLAWdK5S4gRsuNj1j7GXqGHVJVjku1CHZln2+IVpukP4yxgAWT4/Ptd95r/taUCk3Q==" saltValue="ToaDo/KFD0IvYQImYHAM6g==" spinCount="100000" sheet="1" objects="1" scenarios="1"/>
  <mergeCells count="16">
    <mergeCell ref="I4:J4"/>
    <mergeCell ref="L4:M4"/>
    <mergeCell ref="O4:P4"/>
    <mergeCell ref="D1:E1"/>
    <mergeCell ref="E2:J2"/>
    <mergeCell ref="O2:P2"/>
    <mergeCell ref="I3:J3"/>
    <mergeCell ref="L3:P3"/>
    <mergeCell ref="B13:N13"/>
    <mergeCell ref="B14:P14"/>
    <mergeCell ref="B5:P5"/>
    <mergeCell ref="B6:M6"/>
    <mergeCell ref="B7:M7"/>
    <mergeCell ref="B8:M8"/>
    <mergeCell ref="B9:M9"/>
    <mergeCell ref="B12:M12"/>
  </mergeCells>
  <pageMargins left="0.24" right="0.25" top="0.95" bottom="0.63" header="0.38" footer="0.25"/>
  <pageSetup scale="70" fitToHeight="0" orientation="portrait" r:id="rId1"/>
  <headerFooter alignWithMargins="0">
    <oddHeader>&amp;C&amp;"Elephant,Italic"&amp;14Confidential QI Report&amp;"Arial,Bold"&amp;10
San Diego County Mental Health Plan
&amp;"Arial,Regular"Behavioral Health Services
Fiscal Year 22-23</oddHeader>
    <oddFooter>&amp;L&amp;"Times New Roman,Regular"&amp;8FY 22-23 Medical Record Review Report - Excel - Rev. 7-1-22&amp;R&amp;P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22424-6BFA-444C-813C-54C03D8F781E}">
  <dimension ref="A2:M78"/>
  <sheetViews>
    <sheetView view="pageBreakPreview" topLeftCell="A22" zoomScaleNormal="100" zoomScaleSheetLayoutView="100" workbookViewId="0">
      <selection activeCell="C40" sqref="C40"/>
    </sheetView>
  </sheetViews>
  <sheetFormatPr defaultRowHeight="12.75" x14ac:dyDescent="0.2"/>
  <cols>
    <col min="3" max="3" width="18.28515625" customWidth="1"/>
    <col min="4" max="4" width="9.85546875" customWidth="1"/>
    <col min="7" max="7" width="50.85546875" customWidth="1"/>
    <col min="8" max="8" width="58.85546875" customWidth="1"/>
  </cols>
  <sheetData>
    <row r="2" spans="2:8" x14ac:dyDescent="0.2">
      <c r="B2" s="165" t="s">
        <v>297</v>
      </c>
      <c r="C2" s="164"/>
    </row>
    <row r="4" spans="2:8" ht="102" x14ac:dyDescent="0.2">
      <c r="B4" s="6" t="s">
        <v>298</v>
      </c>
      <c r="G4" s="70" t="s">
        <v>326</v>
      </c>
      <c r="H4" s="169" t="s">
        <v>330</v>
      </c>
    </row>
    <row r="5" spans="2:8" ht="25.5" x14ac:dyDescent="0.2">
      <c r="D5" s="70" t="s">
        <v>301</v>
      </c>
      <c r="E5" s="70" t="s">
        <v>302</v>
      </c>
      <c r="G5" s="195" t="s">
        <v>355</v>
      </c>
    </row>
    <row r="6" spans="2:8" x14ac:dyDescent="0.2">
      <c r="B6" s="6" t="s">
        <v>13</v>
      </c>
      <c r="D6">
        <v>4</v>
      </c>
      <c r="E6">
        <v>4</v>
      </c>
      <c r="G6" s="6" t="s">
        <v>356</v>
      </c>
    </row>
    <row r="7" spans="2:8" x14ac:dyDescent="0.2">
      <c r="B7" s="6" t="s">
        <v>15</v>
      </c>
      <c r="D7">
        <v>2</v>
      </c>
      <c r="E7">
        <v>4</v>
      </c>
      <c r="G7" s="6" t="s">
        <v>357</v>
      </c>
      <c r="H7" s="6" t="s">
        <v>358</v>
      </c>
    </row>
    <row r="8" spans="2:8" x14ac:dyDescent="0.2">
      <c r="B8" s="6" t="s">
        <v>303</v>
      </c>
      <c r="D8">
        <v>5</v>
      </c>
      <c r="E8">
        <v>5</v>
      </c>
      <c r="G8" s="6" t="s">
        <v>359</v>
      </c>
    </row>
    <row r="9" spans="2:8" x14ac:dyDescent="0.2">
      <c r="B9" s="6" t="s">
        <v>18</v>
      </c>
      <c r="D9">
        <v>7</v>
      </c>
      <c r="E9">
        <v>5</v>
      </c>
    </row>
    <row r="10" spans="2:8" x14ac:dyDescent="0.2">
      <c r="B10" s="6" t="s">
        <v>19</v>
      </c>
      <c r="D10">
        <v>3</v>
      </c>
      <c r="E10">
        <v>2</v>
      </c>
    </row>
    <row r="11" spans="2:8" x14ac:dyDescent="0.2">
      <c r="B11" s="6" t="s">
        <v>20</v>
      </c>
      <c r="D11">
        <v>3</v>
      </c>
      <c r="E11">
        <v>2</v>
      </c>
    </row>
    <row r="12" spans="2:8" x14ac:dyDescent="0.2">
      <c r="B12" s="6" t="s">
        <v>21</v>
      </c>
      <c r="D12">
        <v>3</v>
      </c>
      <c r="E12">
        <v>2</v>
      </c>
    </row>
    <row r="13" spans="2:8" x14ac:dyDescent="0.2">
      <c r="B13" s="6" t="s">
        <v>22</v>
      </c>
      <c r="D13">
        <v>2</v>
      </c>
      <c r="E13">
        <v>3</v>
      </c>
    </row>
    <row r="14" spans="2:8" x14ac:dyDescent="0.2">
      <c r="D14">
        <f>SUM(D6:D13)</f>
        <v>29</v>
      </c>
      <c r="E14">
        <f>SUM(E6:E13)</f>
        <v>27</v>
      </c>
    </row>
    <row r="16" spans="2:8" x14ac:dyDescent="0.2">
      <c r="B16" s="165" t="s">
        <v>299</v>
      </c>
      <c r="C16" s="164"/>
    </row>
    <row r="17" spans="1:11" x14ac:dyDescent="0.2">
      <c r="G17" s="6" t="s">
        <v>307</v>
      </c>
    </row>
    <row r="18" spans="1:11" x14ac:dyDescent="0.2">
      <c r="B18" s="161" t="s">
        <v>42</v>
      </c>
      <c r="C18" s="162"/>
      <c r="D18" s="6" t="s">
        <v>300</v>
      </c>
      <c r="G18" s="6" t="s">
        <v>306</v>
      </c>
      <c r="H18" s="6" t="s">
        <v>308</v>
      </c>
      <c r="I18" s="167" t="s">
        <v>309</v>
      </c>
    </row>
    <row r="19" spans="1:11" x14ac:dyDescent="0.2">
      <c r="B19" s="161" t="s">
        <v>44</v>
      </c>
      <c r="C19" s="161"/>
      <c r="D19" s="6" t="s">
        <v>300</v>
      </c>
      <c r="G19" s="6" t="s">
        <v>310</v>
      </c>
    </row>
    <row r="20" spans="1:11" x14ac:dyDescent="0.2">
      <c r="B20" s="161" t="s">
        <v>46</v>
      </c>
      <c r="C20" s="162"/>
      <c r="D20" s="6" t="s">
        <v>300</v>
      </c>
      <c r="G20" s="6" t="s">
        <v>311</v>
      </c>
      <c r="H20" s="6" t="s">
        <v>308</v>
      </c>
      <c r="I20" s="167" t="s">
        <v>309</v>
      </c>
    </row>
    <row r="21" spans="1:11" ht="63.75" x14ac:dyDescent="0.2">
      <c r="B21" s="38" t="s">
        <v>43</v>
      </c>
      <c r="C21" s="38"/>
      <c r="D21" s="6" t="s">
        <v>300</v>
      </c>
      <c r="G21" s="6" t="s">
        <v>312</v>
      </c>
      <c r="H21" s="70" t="s">
        <v>329</v>
      </c>
      <c r="I21" s="167" t="s">
        <v>328</v>
      </c>
    </row>
    <row r="22" spans="1:11" x14ac:dyDescent="0.2">
      <c r="B22" s="38" t="s">
        <v>45</v>
      </c>
      <c r="C22" s="38"/>
      <c r="D22" s="6" t="s">
        <v>300</v>
      </c>
      <c r="G22" s="6" t="s">
        <v>324</v>
      </c>
      <c r="H22" s="6" t="s">
        <v>325</v>
      </c>
    </row>
    <row r="24" spans="1:11" x14ac:dyDescent="0.2">
      <c r="A24" s="196" t="s">
        <v>360</v>
      </c>
      <c r="B24" s="528" t="s">
        <v>354</v>
      </c>
      <c r="C24" s="529"/>
      <c r="D24" s="530"/>
      <c r="E24" s="163"/>
      <c r="F24" s="163"/>
      <c r="G24" s="196" t="s">
        <v>361</v>
      </c>
      <c r="H24" s="196" t="s">
        <v>362</v>
      </c>
      <c r="I24" s="196" t="s">
        <v>363</v>
      </c>
      <c r="J24" s="163"/>
      <c r="K24" s="163"/>
    </row>
    <row r="25" spans="1:11" x14ac:dyDescent="0.2">
      <c r="A25" s="196" t="s">
        <v>360</v>
      </c>
      <c r="B25" s="195" t="s">
        <v>375</v>
      </c>
      <c r="C25" s="163"/>
      <c r="D25" s="163"/>
      <c r="E25" s="163"/>
      <c r="F25" s="163"/>
      <c r="G25" s="6" t="s">
        <v>376</v>
      </c>
    </row>
    <row r="28" spans="1:11" x14ac:dyDescent="0.2">
      <c r="B28" s="165" t="s">
        <v>327</v>
      </c>
      <c r="C28" s="164"/>
    </row>
    <row r="30" spans="1:11" s="3" customFormat="1" ht="25.5" x14ac:dyDescent="0.2">
      <c r="B30" s="38" t="s">
        <v>314</v>
      </c>
      <c r="G30" s="168" t="s">
        <v>315</v>
      </c>
      <c r="H30" s="70" t="s">
        <v>316</v>
      </c>
      <c r="I30" s="167" t="s">
        <v>317</v>
      </c>
    </row>
    <row r="31" spans="1:11" x14ac:dyDescent="0.2">
      <c r="H31" s="6" t="s">
        <v>318</v>
      </c>
      <c r="I31" s="167" t="s">
        <v>319</v>
      </c>
    </row>
    <row r="32" spans="1:11" x14ac:dyDescent="0.2">
      <c r="H32" s="6" t="s">
        <v>320</v>
      </c>
      <c r="I32" s="167" t="s">
        <v>321</v>
      </c>
    </row>
    <row r="33" spans="1:13" x14ac:dyDescent="0.2">
      <c r="H33" s="6" t="s">
        <v>322</v>
      </c>
      <c r="I33" s="167" t="s">
        <v>323</v>
      </c>
    </row>
    <row r="34" spans="1:13" x14ac:dyDescent="0.2">
      <c r="H34" s="6"/>
      <c r="I34" s="6"/>
    </row>
    <row r="35" spans="1:13" x14ac:dyDescent="0.2">
      <c r="A35" s="196" t="s">
        <v>360</v>
      </c>
      <c r="B35" s="528" t="s">
        <v>364</v>
      </c>
      <c r="C35" s="529"/>
      <c r="D35" s="530"/>
      <c r="E35" s="163"/>
      <c r="F35" s="163"/>
      <c r="G35" s="196" t="s">
        <v>361</v>
      </c>
      <c r="H35" s="196" t="s">
        <v>365</v>
      </c>
      <c r="I35" s="196" t="s">
        <v>363</v>
      </c>
      <c r="J35" s="163"/>
      <c r="K35" s="163"/>
    </row>
    <row r="36" spans="1:13" x14ac:dyDescent="0.2">
      <c r="A36" s="196"/>
      <c r="B36" s="197" t="s">
        <v>366</v>
      </c>
      <c r="C36" s="198"/>
      <c r="D36" s="198"/>
      <c r="E36" s="163"/>
      <c r="F36" s="163"/>
      <c r="G36" s="196"/>
      <c r="H36" s="196"/>
      <c r="I36" s="196"/>
      <c r="J36" s="163"/>
      <c r="K36" s="163"/>
    </row>
    <row r="37" spans="1:13" x14ac:dyDescent="0.2">
      <c r="H37" s="6"/>
      <c r="I37" s="6"/>
    </row>
    <row r="38" spans="1:13" ht="15" x14ac:dyDescent="0.2">
      <c r="B38" s="199" t="s">
        <v>351</v>
      </c>
      <c r="C38" s="186"/>
      <c r="D38" s="186"/>
      <c r="E38" s="187">
        <v>10</v>
      </c>
      <c r="F38" s="1"/>
      <c r="G38" s="190" t="s">
        <v>352</v>
      </c>
      <c r="H38" s="187">
        <v>8</v>
      </c>
      <c r="I38" s="1"/>
      <c r="J38" s="188" t="s">
        <v>353</v>
      </c>
      <c r="K38" s="186"/>
      <c r="L38" s="1"/>
      <c r="M38" s="189">
        <f>H38/E38</f>
        <v>0.8</v>
      </c>
    </row>
    <row r="39" spans="1:13" x14ac:dyDescent="0.2">
      <c r="H39" s="6"/>
      <c r="I39" s="6"/>
    </row>
    <row r="40" spans="1:13" x14ac:dyDescent="0.2">
      <c r="H40" s="6"/>
      <c r="I40" s="6"/>
    </row>
    <row r="41" spans="1:13" x14ac:dyDescent="0.2">
      <c r="B41" s="6" t="s">
        <v>453</v>
      </c>
      <c r="G41" s="6" t="s">
        <v>452</v>
      </c>
      <c r="H41" s="6"/>
      <c r="I41" s="6"/>
    </row>
    <row r="42" spans="1:13" x14ac:dyDescent="0.2">
      <c r="H42" s="6"/>
      <c r="I42" s="6"/>
    </row>
    <row r="43" spans="1:13" x14ac:dyDescent="0.2">
      <c r="H43" s="6"/>
      <c r="I43" s="6"/>
    </row>
    <row r="44" spans="1:13" x14ac:dyDescent="0.2">
      <c r="B44" s="38" t="s">
        <v>13</v>
      </c>
    </row>
    <row r="45" spans="1:13" x14ac:dyDescent="0.2">
      <c r="B45" s="163" t="s">
        <v>256</v>
      </c>
      <c r="G45" s="163" t="s">
        <v>257</v>
      </c>
      <c r="H45" s="163" t="s">
        <v>11</v>
      </c>
      <c r="L45" t="s">
        <v>12</v>
      </c>
    </row>
    <row r="46" spans="1:13" x14ac:dyDescent="0.2">
      <c r="B46" t="s">
        <v>295</v>
      </c>
      <c r="G46" t="s">
        <v>1</v>
      </c>
      <c r="H46" t="s">
        <v>296</v>
      </c>
      <c r="K46" t="s">
        <v>258</v>
      </c>
    </row>
    <row r="48" spans="1:13" x14ac:dyDescent="0.2">
      <c r="B48" t="s">
        <v>202</v>
      </c>
      <c r="D48" t="s">
        <v>86</v>
      </c>
      <c r="G48" t="s">
        <v>9</v>
      </c>
      <c r="H48" t="s">
        <v>259</v>
      </c>
      <c r="K48" t="s">
        <v>260</v>
      </c>
    </row>
    <row r="49" spans="1:13" x14ac:dyDescent="0.2">
      <c r="B49">
        <v>1</v>
      </c>
      <c r="D49">
        <v>99999</v>
      </c>
      <c r="G49" t="s">
        <v>14</v>
      </c>
      <c r="H49">
        <v>36526</v>
      </c>
      <c r="K49">
        <v>44927</v>
      </c>
      <c r="L49" t="s">
        <v>261</v>
      </c>
      <c r="M49">
        <v>44985</v>
      </c>
    </row>
    <row r="52" spans="1:13" x14ac:dyDescent="0.2">
      <c r="B52" s="38" t="s">
        <v>313</v>
      </c>
    </row>
    <row r="53" spans="1:13" x14ac:dyDescent="0.2">
      <c r="B53" s="166" t="s">
        <v>293</v>
      </c>
      <c r="G53" s="166" t="s">
        <v>38</v>
      </c>
      <c r="J53" t="s">
        <v>260</v>
      </c>
    </row>
    <row r="54" spans="1:13" x14ac:dyDescent="0.2">
      <c r="B54" t="s">
        <v>295</v>
      </c>
      <c r="G54" t="s">
        <v>1</v>
      </c>
      <c r="J54">
        <v>44927</v>
      </c>
      <c r="K54" t="s">
        <v>261</v>
      </c>
      <c r="L54">
        <v>44985</v>
      </c>
    </row>
    <row r="56" spans="1:13" x14ac:dyDescent="0.2">
      <c r="B56" t="s">
        <v>202</v>
      </c>
      <c r="D56" t="s">
        <v>86</v>
      </c>
      <c r="G56" t="s">
        <v>259</v>
      </c>
      <c r="H56" s="166" t="s">
        <v>294</v>
      </c>
      <c r="K56" t="s">
        <v>12</v>
      </c>
    </row>
    <row r="57" spans="1:13" x14ac:dyDescent="0.2">
      <c r="B57">
        <v>2</v>
      </c>
      <c r="D57">
        <v>888888</v>
      </c>
      <c r="H57" t="e">
        <v>#REF!</v>
      </c>
      <c r="K57" t="s">
        <v>258</v>
      </c>
    </row>
    <row r="61" spans="1:13" x14ac:dyDescent="0.2">
      <c r="A61" s="196" t="s">
        <v>367</v>
      </c>
      <c r="B61" s="195" t="s">
        <v>368</v>
      </c>
      <c r="C61" s="163"/>
      <c r="D61" s="163"/>
      <c r="E61" s="163"/>
      <c r="F61" s="163"/>
      <c r="G61" s="163"/>
      <c r="H61" s="163"/>
      <c r="I61" s="163"/>
      <c r="J61" s="163"/>
      <c r="K61" s="163"/>
    </row>
    <row r="62" spans="1:13" x14ac:dyDescent="0.2">
      <c r="B62" s="163" t="s">
        <v>338</v>
      </c>
      <c r="C62" s="163"/>
      <c r="D62" s="163"/>
      <c r="E62" s="163"/>
      <c r="F62" s="163"/>
      <c r="G62" s="163" t="s">
        <v>38</v>
      </c>
      <c r="H62" s="163" t="s">
        <v>12</v>
      </c>
      <c r="I62" s="163" t="s">
        <v>260</v>
      </c>
      <c r="J62" s="163"/>
      <c r="K62" s="163"/>
    </row>
    <row r="63" spans="1:13" x14ac:dyDescent="0.2">
      <c r="B63" s="163" t="s">
        <v>295</v>
      </c>
      <c r="C63" s="163"/>
      <c r="D63" s="163"/>
      <c r="E63" s="163"/>
      <c r="F63" s="163"/>
      <c r="G63" s="163" t="s">
        <v>1</v>
      </c>
      <c r="H63" s="163" t="s">
        <v>336</v>
      </c>
      <c r="I63" s="163">
        <v>44927</v>
      </c>
      <c r="J63" s="163" t="s">
        <v>261</v>
      </c>
      <c r="K63" s="163">
        <v>44985</v>
      </c>
    </row>
    <row r="64" spans="1:13" x14ac:dyDescent="0.2">
      <c r="B64" s="163"/>
      <c r="C64" s="163"/>
      <c r="D64" s="163"/>
      <c r="E64" s="163"/>
      <c r="F64" s="163"/>
      <c r="G64" s="163"/>
      <c r="H64" s="163"/>
      <c r="I64" s="163"/>
      <c r="J64" s="163"/>
      <c r="K64" s="163"/>
    </row>
    <row r="65" spans="1:11" x14ac:dyDescent="0.2">
      <c r="B65" s="163" t="s">
        <v>202</v>
      </c>
      <c r="C65" s="163"/>
      <c r="D65" s="163" t="s">
        <v>86</v>
      </c>
      <c r="E65" s="163"/>
      <c r="F65" s="163"/>
      <c r="G65" s="163" t="s">
        <v>350</v>
      </c>
      <c r="H65" s="163" t="s">
        <v>259</v>
      </c>
      <c r="I65" s="163" t="s">
        <v>294</v>
      </c>
      <c r="J65" s="163"/>
      <c r="K65" s="163"/>
    </row>
    <row r="66" spans="1:11" x14ac:dyDescent="0.2">
      <c r="B66" s="163">
        <v>2</v>
      </c>
      <c r="C66" s="163"/>
      <c r="D66" s="163">
        <v>888888</v>
      </c>
      <c r="E66" s="163"/>
      <c r="F66" s="163"/>
      <c r="G66" s="163">
        <v>20435</v>
      </c>
      <c r="H66" s="163"/>
      <c r="I66" s="163" t="s">
        <v>331</v>
      </c>
      <c r="J66" s="163"/>
      <c r="K66" s="163"/>
    </row>
    <row r="74" spans="1:11" x14ac:dyDescent="0.2">
      <c r="B74" s="165" t="s">
        <v>304</v>
      </c>
      <c r="C74" s="164"/>
    </row>
    <row r="76" spans="1:11" x14ac:dyDescent="0.2">
      <c r="B76" s="6" t="s">
        <v>305</v>
      </c>
    </row>
    <row r="78" spans="1:11" s="3" customFormat="1" x14ac:dyDescent="0.2">
      <c r="A78" s="70" t="s">
        <v>360</v>
      </c>
      <c r="B78" s="6" t="s">
        <v>369</v>
      </c>
      <c r="H78" s="70" t="s">
        <v>370</v>
      </c>
    </row>
  </sheetData>
  <mergeCells count="2">
    <mergeCell ref="B24:D24"/>
    <mergeCell ref="B35:D35"/>
  </mergeCells>
  <pageMargins left="0.7" right="0.7" top="1" bottom="0.75" header="0.3" footer="0.3"/>
  <pageSetup scale="90" orientation="portrait" r:id="rId1"/>
  <headerFooter>
    <oddHeader>&amp;CConfidential QI Report
San Diego County Mental Health Plan
Behavioral Health Services
Fiscal Year 23-24</oddHeader>
    <oddFooter>&amp;LFY 23-24 Medical Record Review Report - Excel - Rev. 7-1-23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F1177-82ED-40C7-9814-983B163D864F}">
  <sheetPr>
    <tabColor rgb="FFFFC000"/>
  </sheetPr>
  <dimension ref="B2:E54"/>
  <sheetViews>
    <sheetView view="pageBreakPreview" zoomScale="110" zoomScaleNormal="100" zoomScaleSheetLayoutView="110" workbookViewId="0">
      <selection activeCell="D12" sqref="D12"/>
    </sheetView>
  </sheetViews>
  <sheetFormatPr defaultRowHeight="12.75" x14ac:dyDescent="0.2"/>
  <cols>
    <col min="1" max="1" width="9.140625" style="180"/>
    <col min="2" max="2" width="17" style="180" customWidth="1"/>
    <col min="3" max="3" width="32.5703125" style="180" customWidth="1"/>
    <col min="4" max="4" width="49.5703125" style="180" customWidth="1"/>
    <col min="5" max="16384" width="9.140625" style="180"/>
  </cols>
  <sheetData>
    <row r="2" spans="2:5" ht="15" x14ac:dyDescent="0.2">
      <c r="B2" s="386" t="s">
        <v>294</v>
      </c>
      <c r="C2" s="387" t="s">
        <v>89</v>
      </c>
      <c r="D2" s="389" t="s">
        <v>646</v>
      </c>
      <c r="E2" s="389" t="s">
        <v>651</v>
      </c>
    </row>
    <row r="4" spans="2:5" ht="15" x14ac:dyDescent="0.2">
      <c r="B4" s="180" t="s">
        <v>331</v>
      </c>
      <c r="C4" s="388" t="s">
        <v>660</v>
      </c>
      <c r="D4" s="390" t="s">
        <v>647</v>
      </c>
      <c r="E4" s="390" t="s">
        <v>111</v>
      </c>
    </row>
    <row r="5" spans="2:5" ht="15" x14ac:dyDescent="0.2">
      <c r="B5" s="180" t="s">
        <v>332</v>
      </c>
      <c r="C5" s="388" t="s">
        <v>594</v>
      </c>
      <c r="D5" s="390" t="s">
        <v>648</v>
      </c>
      <c r="E5" s="390" t="s">
        <v>113</v>
      </c>
    </row>
    <row r="6" spans="2:5" ht="15" x14ac:dyDescent="0.2">
      <c r="B6" s="180" t="s">
        <v>333</v>
      </c>
      <c r="C6" s="388" t="s">
        <v>595</v>
      </c>
      <c r="D6" s="390" t="s">
        <v>649</v>
      </c>
      <c r="E6" s="390" t="s">
        <v>101</v>
      </c>
    </row>
    <row r="7" spans="2:5" ht="15" x14ac:dyDescent="0.2">
      <c r="B7" s="180" t="s">
        <v>334</v>
      </c>
      <c r="C7" s="388" t="s">
        <v>596</v>
      </c>
      <c r="D7" s="390" t="s">
        <v>650</v>
      </c>
      <c r="E7" s="390" t="s">
        <v>116</v>
      </c>
    </row>
    <row r="8" spans="2:5" ht="15" x14ac:dyDescent="0.2">
      <c r="B8" s="180" t="s">
        <v>335</v>
      </c>
      <c r="C8" s="388" t="s">
        <v>597</v>
      </c>
      <c r="E8" s="390" t="s">
        <v>118</v>
      </c>
    </row>
    <row r="9" spans="2:5" ht="15" x14ac:dyDescent="0.2">
      <c r="C9" s="388" t="s">
        <v>598</v>
      </c>
      <c r="E9" s="390" t="s">
        <v>120</v>
      </c>
    </row>
    <row r="10" spans="2:5" ht="30" x14ac:dyDescent="0.2">
      <c r="C10" s="388" t="s">
        <v>599</v>
      </c>
      <c r="E10" s="390" t="s">
        <v>652</v>
      </c>
    </row>
    <row r="11" spans="2:5" ht="15" x14ac:dyDescent="0.2">
      <c r="C11" s="388" t="s">
        <v>600</v>
      </c>
      <c r="E11" s="390" t="s">
        <v>124</v>
      </c>
    </row>
    <row r="12" spans="2:5" ht="15" x14ac:dyDescent="0.2">
      <c r="C12" s="388" t="s">
        <v>601</v>
      </c>
      <c r="E12" s="390" t="s">
        <v>126</v>
      </c>
    </row>
    <row r="13" spans="2:5" ht="15" x14ac:dyDescent="0.2">
      <c r="C13" s="388" t="s">
        <v>602</v>
      </c>
      <c r="E13" s="390" t="s">
        <v>148</v>
      </c>
    </row>
    <row r="14" spans="2:5" ht="15" x14ac:dyDescent="0.2">
      <c r="C14" s="388" t="s">
        <v>603</v>
      </c>
      <c r="E14" s="390" t="s">
        <v>150</v>
      </c>
    </row>
    <row r="15" spans="2:5" ht="15" x14ac:dyDescent="0.2">
      <c r="C15" s="388" t="s">
        <v>604</v>
      </c>
      <c r="E15" s="390" t="s">
        <v>653</v>
      </c>
    </row>
    <row r="16" spans="2:5" ht="15" x14ac:dyDescent="0.2">
      <c r="C16" s="388" t="s">
        <v>605</v>
      </c>
    </row>
    <row r="17" spans="3:3" ht="15" x14ac:dyDescent="0.2">
      <c r="C17" s="388" t="s">
        <v>606</v>
      </c>
    </row>
    <row r="18" spans="3:3" ht="15" x14ac:dyDescent="0.2">
      <c r="C18" s="388" t="s">
        <v>607</v>
      </c>
    </row>
    <row r="19" spans="3:3" ht="15" x14ac:dyDescent="0.2">
      <c r="C19" s="388" t="s">
        <v>608</v>
      </c>
    </row>
    <row r="20" spans="3:3" ht="15" x14ac:dyDescent="0.2">
      <c r="C20" s="388" t="s">
        <v>609</v>
      </c>
    </row>
    <row r="21" spans="3:3" ht="15" x14ac:dyDescent="0.2">
      <c r="C21" s="388" t="s">
        <v>610</v>
      </c>
    </row>
    <row r="22" spans="3:3" ht="15" x14ac:dyDescent="0.2">
      <c r="C22" s="388" t="s">
        <v>611</v>
      </c>
    </row>
    <row r="23" spans="3:3" ht="15" x14ac:dyDescent="0.2">
      <c r="C23" s="388" t="s">
        <v>612</v>
      </c>
    </row>
    <row r="24" spans="3:3" ht="15" x14ac:dyDescent="0.2">
      <c r="C24" s="388" t="s">
        <v>613</v>
      </c>
    </row>
    <row r="25" spans="3:3" ht="15" x14ac:dyDescent="0.2">
      <c r="C25" s="388" t="s">
        <v>614</v>
      </c>
    </row>
    <row r="26" spans="3:3" ht="15" x14ac:dyDescent="0.2">
      <c r="C26" s="388" t="s">
        <v>615</v>
      </c>
    </row>
    <row r="27" spans="3:3" ht="15" x14ac:dyDescent="0.2">
      <c r="C27" s="388" t="s">
        <v>616</v>
      </c>
    </row>
    <row r="28" spans="3:3" ht="15" x14ac:dyDescent="0.2">
      <c r="C28" s="388" t="s">
        <v>617</v>
      </c>
    </row>
    <row r="29" spans="3:3" ht="15" x14ac:dyDescent="0.2">
      <c r="C29" s="388" t="s">
        <v>618</v>
      </c>
    </row>
    <row r="30" spans="3:3" ht="15" x14ac:dyDescent="0.2">
      <c r="C30" s="388" t="s">
        <v>619</v>
      </c>
    </row>
    <row r="31" spans="3:3" ht="15" x14ac:dyDescent="0.2">
      <c r="C31" s="388" t="s">
        <v>620</v>
      </c>
    </row>
    <row r="32" spans="3:3" ht="15" x14ac:dyDescent="0.2">
      <c r="C32" s="388" t="s">
        <v>621</v>
      </c>
    </row>
    <row r="33" spans="3:3" ht="15" x14ac:dyDescent="0.2">
      <c r="C33" s="388" t="s">
        <v>622</v>
      </c>
    </row>
    <row r="34" spans="3:3" ht="15" x14ac:dyDescent="0.2">
      <c r="C34" s="388" t="s">
        <v>623</v>
      </c>
    </row>
    <row r="35" spans="3:3" ht="15" x14ac:dyDescent="0.2">
      <c r="C35" s="388" t="s">
        <v>624</v>
      </c>
    </row>
    <row r="36" spans="3:3" ht="15" x14ac:dyDescent="0.2">
      <c r="C36" s="388" t="s">
        <v>625</v>
      </c>
    </row>
    <row r="37" spans="3:3" ht="15" x14ac:dyDescent="0.2">
      <c r="C37" s="388" t="s">
        <v>626</v>
      </c>
    </row>
    <row r="38" spans="3:3" ht="15" x14ac:dyDescent="0.2">
      <c r="C38" s="388" t="s">
        <v>627</v>
      </c>
    </row>
    <row r="39" spans="3:3" ht="15" x14ac:dyDescent="0.2">
      <c r="C39" s="388" t="s">
        <v>628</v>
      </c>
    </row>
    <row r="40" spans="3:3" ht="15" x14ac:dyDescent="0.2">
      <c r="C40" s="388" t="s">
        <v>629</v>
      </c>
    </row>
    <row r="41" spans="3:3" ht="15" x14ac:dyDescent="0.2">
      <c r="C41" s="388" t="s">
        <v>630</v>
      </c>
    </row>
    <row r="42" spans="3:3" ht="15" x14ac:dyDescent="0.2">
      <c r="C42" s="388" t="s">
        <v>631</v>
      </c>
    </row>
    <row r="43" spans="3:3" ht="15" x14ac:dyDescent="0.2">
      <c r="C43" s="388" t="s">
        <v>632</v>
      </c>
    </row>
    <row r="44" spans="3:3" ht="15" x14ac:dyDescent="0.2">
      <c r="C44" s="388" t="s">
        <v>633</v>
      </c>
    </row>
    <row r="45" spans="3:3" ht="15" x14ac:dyDescent="0.2">
      <c r="C45" s="388" t="s">
        <v>634</v>
      </c>
    </row>
    <row r="46" spans="3:3" ht="15" x14ac:dyDescent="0.2">
      <c r="C46" s="388" t="s">
        <v>635</v>
      </c>
    </row>
    <row r="47" spans="3:3" ht="15" x14ac:dyDescent="0.2">
      <c r="C47" s="388" t="s">
        <v>636</v>
      </c>
    </row>
    <row r="48" spans="3:3" ht="15" x14ac:dyDescent="0.2">
      <c r="C48" s="388" t="s">
        <v>637</v>
      </c>
    </row>
    <row r="49" spans="3:3" ht="15" x14ac:dyDescent="0.2">
      <c r="C49" s="388" t="s">
        <v>638</v>
      </c>
    </row>
    <row r="50" spans="3:3" ht="15" x14ac:dyDescent="0.2">
      <c r="C50" s="388" t="s">
        <v>639</v>
      </c>
    </row>
    <row r="51" spans="3:3" ht="15" x14ac:dyDescent="0.2">
      <c r="C51" s="388" t="s">
        <v>640</v>
      </c>
    </row>
    <row r="52" spans="3:3" ht="15" x14ac:dyDescent="0.2">
      <c r="C52" s="388" t="s">
        <v>641</v>
      </c>
    </row>
    <row r="53" spans="3:3" ht="15" x14ac:dyDescent="0.2">
      <c r="C53" s="388" t="s">
        <v>642</v>
      </c>
    </row>
    <row r="54" spans="3:3" ht="15" x14ac:dyDescent="0.2">
      <c r="C54" s="388" t="s">
        <v>643</v>
      </c>
    </row>
  </sheetData>
  <pageMargins left="0.7" right="0.7" top="1" bottom="0.75" header="0.3" footer="0.3"/>
  <pageSetup scale="90" orientation="portrait" r:id="rId1"/>
  <headerFooter>
    <oddHeader>&amp;CConfidential QI Report
San Diego County Mental Health Plan
Behavioral Health Services
Fiscal Year 23-24</oddHeader>
    <oddFooter>&amp;LFY 23-24 Medical Record Review Report - Excel - Rev. 7-1-23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AFA89-3DB2-4930-AD5A-F4D23ADFD631}">
  <sheetPr codeName="Sheet23">
    <tabColor rgb="FFC00000"/>
  </sheetPr>
  <dimension ref="A2:CD692"/>
  <sheetViews>
    <sheetView view="pageBreakPreview" topLeftCell="H81" zoomScale="80" zoomScaleNormal="80" zoomScaleSheetLayoutView="80" workbookViewId="0">
      <selection activeCell="I24" sqref="I24"/>
    </sheetView>
  </sheetViews>
  <sheetFormatPr defaultRowHeight="12.75" x14ac:dyDescent="0.2"/>
  <cols>
    <col min="1" max="1" width="9.42578125" customWidth="1"/>
    <col min="2" max="2" width="21.5703125" customWidth="1"/>
    <col min="3" max="3" width="26.42578125" customWidth="1"/>
    <col min="4" max="4" width="23.7109375" customWidth="1"/>
    <col min="5" max="5" width="18.42578125" customWidth="1"/>
    <col min="6" max="6" width="21.5703125" customWidth="1"/>
    <col min="7" max="7" width="17.42578125" customWidth="1"/>
    <col min="8" max="8" width="15.42578125" customWidth="1"/>
    <col min="9" max="9" width="17.42578125" customWidth="1"/>
    <col min="10" max="10" width="21.42578125" customWidth="1"/>
    <col min="11" max="11" width="20" customWidth="1"/>
    <col min="12" max="12" width="18.140625" customWidth="1"/>
    <col min="13" max="13" width="19.85546875" customWidth="1"/>
    <col min="14" max="14" width="24.42578125" customWidth="1"/>
    <col min="15" max="15" width="18.5703125" bestFit="1" customWidth="1"/>
    <col min="16" max="16" width="14.42578125" customWidth="1"/>
    <col min="17" max="17" width="16.42578125" customWidth="1"/>
    <col min="18" max="18" width="15.42578125" customWidth="1"/>
    <col min="19" max="19" width="18.5703125" customWidth="1"/>
    <col min="20" max="20" width="16.5703125" customWidth="1"/>
    <col min="21" max="21" width="18.5703125" customWidth="1"/>
    <col min="22" max="22" width="12" customWidth="1"/>
    <col min="23" max="23" width="12.42578125" customWidth="1"/>
    <col min="24" max="24" width="10.42578125" customWidth="1"/>
    <col min="25" max="25" width="12.140625" customWidth="1"/>
    <col min="26" max="26" width="9.5703125" bestFit="1" customWidth="1"/>
    <col min="27" max="27" width="9.42578125" customWidth="1"/>
    <col min="28" max="28" width="11.42578125" customWidth="1"/>
    <col min="29" max="29" width="11" customWidth="1"/>
    <col min="30" max="30" width="10.140625" customWidth="1"/>
    <col min="31" max="31" width="13.42578125" customWidth="1"/>
    <col min="32" max="32" width="19.5703125" customWidth="1"/>
    <col min="33" max="33" width="17.5703125" customWidth="1"/>
    <col min="34" max="34" width="19.5703125" bestFit="1" customWidth="1"/>
    <col min="35" max="35" width="17.140625" customWidth="1"/>
    <col min="36" max="36" width="17.42578125" customWidth="1"/>
    <col min="37" max="37" width="12.7109375" customWidth="1"/>
    <col min="38" max="38" width="12" customWidth="1"/>
  </cols>
  <sheetData>
    <row r="2" spans="1:4" ht="15.75" x14ac:dyDescent="0.25">
      <c r="A2" s="11" t="s">
        <v>104</v>
      </c>
    </row>
    <row r="3" spans="1:4" ht="15" x14ac:dyDescent="0.2">
      <c r="A3" s="1" t="s">
        <v>105</v>
      </c>
      <c r="B3" s="1" t="s">
        <v>106</v>
      </c>
      <c r="C3" s="1" t="s">
        <v>107</v>
      </c>
      <c r="D3" s="1" t="s">
        <v>108</v>
      </c>
    </row>
    <row r="4" spans="1:4" ht="15" x14ac:dyDescent="0.2">
      <c r="A4" s="1" t="s">
        <v>109</v>
      </c>
      <c r="B4" s="1" t="s">
        <v>110</v>
      </c>
      <c r="C4" s="1" t="s">
        <v>111</v>
      </c>
      <c r="D4" s="1" t="str">
        <f>CORRECTIONCODES[[#This Row],[Description]]</f>
        <v>Incorrect date of service</v>
      </c>
    </row>
    <row r="5" spans="1:4" ht="15" x14ac:dyDescent="0.2">
      <c r="A5" s="1" t="s">
        <v>112</v>
      </c>
      <c r="B5" s="1" t="s">
        <v>110</v>
      </c>
      <c r="C5" s="1" t="s">
        <v>113</v>
      </c>
      <c r="D5" s="1" t="str">
        <f>CORRECTIONCODES[[#This Row],[Description]]</f>
        <v>Incorrect service indicator</v>
      </c>
    </row>
    <row r="6" spans="1:4" ht="15" x14ac:dyDescent="0.2">
      <c r="A6" s="1" t="s">
        <v>114</v>
      </c>
      <c r="B6" s="1" t="s">
        <v>110</v>
      </c>
      <c r="C6" s="1" t="s">
        <v>101</v>
      </c>
      <c r="D6" s="1" t="str">
        <f>CORRECTIONCODES[[#This Row],[Description]]</f>
        <v>Incorrect procedure code</v>
      </c>
    </row>
    <row r="7" spans="1:4" ht="15" x14ac:dyDescent="0.2">
      <c r="A7" s="1" t="s">
        <v>115</v>
      </c>
      <c r="B7" s="1" t="s">
        <v>110</v>
      </c>
      <c r="C7" s="1" t="s">
        <v>116</v>
      </c>
      <c r="D7" s="1" t="str">
        <f>CORRECTIONCODES[[#This Row],[Description]]</f>
        <v>Incorrect provider</v>
      </c>
    </row>
    <row r="8" spans="1:4" ht="15" x14ac:dyDescent="0.2">
      <c r="A8" s="1" t="s">
        <v>117</v>
      </c>
      <c r="B8" s="1" t="s">
        <v>110</v>
      </c>
      <c r="C8" s="1" t="s">
        <v>118</v>
      </c>
      <c r="D8" s="1" t="str">
        <f>CORRECTIONCODES[[#This Row],[Description]]</f>
        <v>Incorrect time</v>
      </c>
    </row>
    <row r="9" spans="1:4" ht="15" x14ac:dyDescent="0.2">
      <c r="A9" s="1" t="s">
        <v>119</v>
      </c>
      <c r="B9" s="1" t="s">
        <v>110</v>
      </c>
      <c r="C9" s="1" t="s">
        <v>120</v>
      </c>
      <c r="D9" s="1" t="str">
        <f>CORRECTIONCODES[[#This Row],[Description]]</f>
        <v>Incorrect client</v>
      </c>
    </row>
    <row r="10" spans="1:4" ht="15" x14ac:dyDescent="0.2">
      <c r="A10" s="1" t="s">
        <v>121</v>
      </c>
      <c r="B10" s="1" t="s">
        <v>110</v>
      </c>
      <c r="C10" s="1" t="s">
        <v>122</v>
      </c>
      <c r="D10" s="1" t="str">
        <f>CORRECTIONCODES[[#This Row],[Description]]</f>
        <v>Incorrect unit/sub unit</v>
      </c>
    </row>
    <row r="11" spans="1:4" ht="15" x14ac:dyDescent="0.2">
      <c r="A11" s="1" t="s">
        <v>123</v>
      </c>
      <c r="B11" s="1" t="s">
        <v>110</v>
      </c>
      <c r="C11" s="1" t="s">
        <v>124</v>
      </c>
      <c r="D11" s="1" t="str">
        <f>CORRECTIONCODES[[#This Row],[Description]]</f>
        <v>Incorrect location code</v>
      </c>
    </row>
    <row r="12" spans="1:4" ht="15" x14ac:dyDescent="0.2">
      <c r="A12" s="1" t="s">
        <v>125</v>
      </c>
      <c r="B12" s="1" t="s">
        <v>110</v>
      </c>
      <c r="C12" s="1" t="s">
        <v>126</v>
      </c>
      <c r="D12" s="1" t="str">
        <f>CORRECTIONCODES[[#This Row],[Description]]</f>
        <v>Duplicate entry</v>
      </c>
    </row>
    <row r="15" spans="1:4" ht="15.75" x14ac:dyDescent="0.25">
      <c r="A15" s="11" t="s">
        <v>127</v>
      </c>
    </row>
    <row r="16" spans="1:4" ht="15" x14ac:dyDescent="0.2">
      <c r="A16" s="1" t="s">
        <v>128</v>
      </c>
      <c r="B16" s="1" t="s">
        <v>129</v>
      </c>
      <c r="C16" s="1" t="s">
        <v>107</v>
      </c>
      <c r="D16" s="1" t="s">
        <v>108</v>
      </c>
    </row>
    <row r="17" spans="1:51" ht="15" x14ac:dyDescent="0.2">
      <c r="A17" s="1" t="s">
        <v>130</v>
      </c>
      <c r="B17" s="1" t="s">
        <v>131</v>
      </c>
      <c r="C17" s="1" t="s">
        <v>132</v>
      </c>
      <c r="D17" s="1" t="str">
        <f>DISALLOWANCE[[#This Row],[Req'#]]&amp;" - "&amp;DISALLOWANCE[[#This Row],[Section]]&amp;": "&amp;DISALLOWANCE[[#This Row],[Description]]</f>
        <v>A4 - Assessment: Medical necessity</v>
      </c>
    </row>
    <row r="18" spans="1:51" ht="15" x14ac:dyDescent="0.2">
      <c r="A18" s="1" t="s">
        <v>133</v>
      </c>
      <c r="B18" s="1" t="s">
        <v>134</v>
      </c>
      <c r="C18" s="1" t="s">
        <v>135</v>
      </c>
      <c r="D18" s="1" t="str">
        <f>DISALLOWANCE[[#This Row],[Req'#]]&amp;" - "&amp;DISALLOWANCE[[#This Row],[Section]]&amp;": "&amp;DISALLOWANCE[[#This Row],[Description]]</f>
        <v>PN2 - Progress Note: Note not signed by service provider</v>
      </c>
    </row>
    <row r="19" spans="1:51" ht="15" x14ac:dyDescent="0.2">
      <c r="A19" s="1" t="s">
        <v>136</v>
      </c>
      <c r="B19" s="1" t="s">
        <v>137</v>
      </c>
      <c r="C19" s="1" t="s">
        <v>138</v>
      </c>
      <c r="D19" s="1" t="str">
        <f>DISALLOWANCE[[#This Row],[Req'#]]&amp;" - "&amp;DISALLOWANCE[[#This Row],[Section]]&amp;": "&amp;DISALLOWANCE[[#This Row],[Description]]</f>
        <v>B1 - Billing: Evidence of fraud, waste, abuse</v>
      </c>
    </row>
    <row r="20" spans="1:51" ht="15" x14ac:dyDescent="0.2">
      <c r="A20" s="1" t="s">
        <v>139</v>
      </c>
      <c r="B20" s="1" t="s">
        <v>137</v>
      </c>
      <c r="C20" s="1" t="s">
        <v>140</v>
      </c>
      <c r="D20" s="1" t="str">
        <f>DISALLOWANCE[[#This Row],[Req'#]]&amp;" - "&amp;DISALLOWANCE[[#This Row],[Section]]&amp;": "&amp;DISALLOWANCE[[#This Row],[Description]]</f>
        <v>B2 - Billing: Claim submitted for services during lock-out</v>
      </c>
    </row>
    <row r="21" spans="1:51" ht="15" x14ac:dyDescent="0.2">
      <c r="A21" s="1" t="s">
        <v>141</v>
      </c>
      <c r="B21" s="1" t="s">
        <v>137</v>
      </c>
      <c r="C21" s="1" t="s">
        <v>142</v>
      </c>
      <c r="D21" s="1" t="str">
        <f>DISALLOWANCE[[#This Row],[Req'#]]&amp;" - "&amp;DISALLOWANCE[[#This Row],[Section]]&amp;": "&amp;DISALLOWANCE[[#This Row],[Description]]</f>
        <v>B3 - Billing: Missing documentation of allowable service</v>
      </c>
    </row>
    <row r="22" spans="1:51" ht="15" x14ac:dyDescent="0.2">
      <c r="A22" s="1" t="s">
        <v>143</v>
      </c>
      <c r="B22" s="1" t="s">
        <v>137</v>
      </c>
      <c r="C22" s="1" t="s">
        <v>144</v>
      </c>
      <c r="D22" s="1" t="str">
        <f>DISALLOWANCE[[#This Row],[Req'#]]&amp;" - "&amp;DISALLOWANCE[[#This Row],[Section]]&amp;": "&amp;DISALLOWANCE[[#This Row],[Description]]</f>
        <v>B4 - Billing: Date of service mismatch</v>
      </c>
    </row>
    <row r="23" spans="1:51" ht="15" x14ac:dyDescent="0.2">
      <c r="A23" s="1" t="s">
        <v>145</v>
      </c>
      <c r="B23" s="1" t="s">
        <v>137</v>
      </c>
      <c r="C23" s="1" t="s">
        <v>146</v>
      </c>
      <c r="D23" s="1" t="str">
        <f>DISALLOWANCE[[#This Row],[Req'#]]&amp;" - "&amp;DISALLOWANCE[[#This Row],[Section]]&amp;": "&amp;DISALLOWANCE[[#This Row],[Description]]</f>
        <v>B5 - Billing: Procedure codes do not match service types</v>
      </c>
    </row>
    <row r="24" spans="1:51" ht="15" x14ac:dyDescent="0.2">
      <c r="A24" s="1" t="s">
        <v>147</v>
      </c>
      <c r="B24" s="1" t="s">
        <v>137</v>
      </c>
      <c r="C24" s="1" t="s">
        <v>148</v>
      </c>
      <c r="D24" s="1" t="str">
        <f>DISALLOWANCE[[#This Row],[Req'#]]&amp;" - "&amp;DISALLOWANCE[[#This Row],[Section]]&amp;": "&amp;DISALLOWANCE[[#This Row],[Description]]</f>
        <v>B6 - Billing: Units of time do not match progress notes</v>
      </c>
    </row>
    <row r="25" spans="1:51" ht="15" x14ac:dyDescent="0.2">
      <c r="A25" s="1" t="s">
        <v>149</v>
      </c>
      <c r="B25" s="1" t="s">
        <v>137</v>
      </c>
      <c r="C25" s="1" t="s">
        <v>150</v>
      </c>
      <c r="D25" s="1" t="str">
        <f>DISALLOWANCE[[#This Row],[Req'#]]&amp;" - "&amp;DISALLOWANCE[[#This Row],[Section]]&amp;": "&amp;DISALLOWANCE[[#This Row],[Description]]</f>
        <v>B8 - Billing: Multiple providers not clearly counted/described</v>
      </c>
    </row>
    <row r="26" spans="1:51" ht="15" x14ac:dyDescent="0.2">
      <c r="A26" s="1" t="s">
        <v>151</v>
      </c>
      <c r="B26" s="1" t="s">
        <v>137</v>
      </c>
      <c r="C26" s="1" t="s">
        <v>152</v>
      </c>
      <c r="D26" s="1" t="str">
        <f>DISALLOWANCE[[#This Row],[Req'#]]&amp;" - "&amp;DISALLOWANCE[[#This Row],[Section]]&amp;": "&amp;DISALLOWANCE[[#This Row],[Description]]</f>
        <v>B9 - Billing: Services not within provider scope</v>
      </c>
    </row>
    <row r="27" spans="1:51" ht="15" x14ac:dyDescent="0.2">
      <c r="A27" s="1" t="s">
        <v>153</v>
      </c>
      <c r="B27" s="1" t="s">
        <v>137</v>
      </c>
      <c r="C27" s="1" t="s">
        <v>154</v>
      </c>
      <c r="D27" s="1" t="str">
        <f>DISALLOWANCE[[#This Row],[Req'#]]&amp;" - "&amp;DISALLOWANCE[[#This Row],[Section]]&amp;": "&amp;DISALLOWANCE[[#This Row],[Description]]</f>
        <v>B10 - Billing: Group note does not identify # of beneficiaries</v>
      </c>
    </row>
    <row r="28" spans="1:51" ht="15" x14ac:dyDescent="0.2">
      <c r="A28" s="1" t="s">
        <v>155</v>
      </c>
      <c r="B28" s="1" t="s">
        <v>137</v>
      </c>
      <c r="C28" s="1" t="s">
        <v>156</v>
      </c>
      <c r="D28" s="1" t="str">
        <f>DISALLOWANCE[[#This Row],[Req'#]]&amp;" - "&amp;DISALLOWANCE[[#This Row],[Section]]&amp;": "&amp;DISALLOWANCE[[#This Row],[Description]]</f>
        <v>B11 - Billing: Group claim not properly apportioned to beneficiaries</v>
      </c>
    </row>
    <row r="29" spans="1:51" ht="15" x14ac:dyDescent="0.2">
      <c r="A29" s="1" t="s">
        <v>157</v>
      </c>
      <c r="B29" s="1" t="s">
        <v>137</v>
      </c>
      <c r="C29" s="1" t="s">
        <v>158</v>
      </c>
      <c r="D29" s="1" t="str">
        <f>DISALLOWANCE[[#This Row],[Req'#]]&amp;" - "&amp;DISALLOWANCE[[#This Row],[Section]]&amp;": "&amp;DISALLOWANCE[[#This Row],[Description]]</f>
        <v>B12 - Billing: Service not billable under Title 9</v>
      </c>
    </row>
    <row r="31" spans="1:51" ht="13.5" thickBot="1" x14ac:dyDescent="0.25"/>
    <row r="32" spans="1:51" x14ac:dyDescent="0.2">
      <c r="C32" s="306" t="s">
        <v>488</v>
      </c>
      <c r="D32" s="307"/>
      <c r="E32" s="307"/>
      <c r="F32" s="308"/>
      <c r="G32" s="316" t="s">
        <v>489</v>
      </c>
      <c r="H32" s="317"/>
      <c r="I32" s="317"/>
      <c r="J32" s="318"/>
      <c r="K32" s="317" t="s">
        <v>523</v>
      </c>
      <c r="L32" s="317"/>
      <c r="M32" s="317"/>
      <c r="N32" s="317"/>
      <c r="O32" s="319" t="s">
        <v>490</v>
      </c>
      <c r="P32" s="320"/>
      <c r="Q32" s="320"/>
      <c r="R32" s="321"/>
      <c r="S32" s="322"/>
      <c r="T32" s="323" t="s">
        <v>491</v>
      </c>
      <c r="U32" s="320"/>
      <c r="V32" s="321"/>
      <c r="W32" s="322"/>
      <c r="X32" s="326" t="s">
        <v>496</v>
      </c>
      <c r="Y32" s="320"/>
      <c r="Z32" s="321"/>
      <c r="AA32" s="322"/>
      <c r="AB32" s="326" t="s">
        <v>137</v>
      </c>
      <c r="AC32" s="320"/>
      <c r="AD32" s="321"/>
      <c r="AE32" s="319" t="s">
        <v>65</v>
      </c>
      <c r="AF32" s="320"/>
      <c r="AG32" s="320"/>
      <c r="AH32" s="320"/>
      <c r="AI32" s="321"/>
      <c r="AJ32" s="319" t="s">
        <v>189</v>
      </c>
      <c r="AK32" s="319" t="s">
        <v>509</v>
      </c>
      <c r="AL32" s="326" t="s">
        <v>511</v>
      </c>
      <c r="AM32" s="326" t="s">
        <v>192</v>
      </c>
      <c r="AN32" s="326" t="s">
        <v>193</v>
      </c>
      <c r="AS32" s="322"/>
      <c r="AT32" s="320"/>
      <c r="AU32" s="326" t="s">
        <v>65</v>
      </c>
      <c r="AV32" s="321"/>
      <c r="AW32" s="320"/>
      <c r="AX32" s="320"/>
      <c r="AY32" s="320"/>
    </row>
    <row r="33" spans="1:51" s="38" customFormat="1" x14ac:dyDescent="0.2">
      <c r="A33" s="38" t="s">
        <v>53</v>
      </c>
      <c r="B33" s="38" t="s">
        <v>96</v>
      </c>
      <c r="C33" s="309" t="s">
        <v>476</v>
      </c>
      <c r="D33" s="38" t="s">
        <v>478</v>
      </c>
      <c r="E33" s="38" t="s">
        <v>477</v>
      </c>
      <c r="F33" s="310" t="s">
        <v>479</v>
      </c>
      <c r="G33" s="309" t="s">
        <v>480</v>
      </c>
      <c r="H33" s="38" t="s">
        <v>482</v>
      </c>
      <c r="I33" s="38" t="s">
        <v>481</v>
      </c>
      <c r="J33" s="310" t="s">
        <v>483</v>
      </c>
      <c r="K33" s="38" t="s">
        <v>524</v>
      </c>
      <c r="L33" s="38" t="s">
        <v>525</v>
      </c>
      <c r="M33" s="38" t="s">
        <v>526</v>
      </c>
      <c r="N33" s="38" t="s">
        <v>527</v>
      </c>
      <c r="O33" s="309" t="s">
        <v>484</v>
      </c>
      <c r="P33" s="38" t="s">
        <v>485</v>
      </c>
      <c r="Q33" s="38" t="s">
        <v>486</v>
      </c>
      <c r="R33" s="310" t="s">
        <v>487</v>
      </c>
      <c r="S33" s="324" t="s">
        <v>492</v>
      </c>
      <c r="T33" s="6" t="s">
        <v>493</v>
      </c>
      <c r="U33" s="6" t="s">
        <v>494</v>
      </c>
      <c r="V33" s="325" t="s">
        <v>495</v>
      </c>
      <c r="W33" s="309" t="s">
        <v>497</v>
      </c>
      <c r="X33" s="38" t="s">
        <v>498</v>
      </c>
      <c r="Y33" s="38" t="s">
        <v>499</v>
      </c>
      <c r="Z33" s="310" t="s">
        <v>500</v>
      </c>
      <c r="AA33" s="309" t="s">
        <v>501</v>
      </c>
      <c r="AB33" s="38" t="s">
        <v>502</v>
      </c>
      <c r="AC33" s="38" t="s">
        <v>503</v>
      </c>
      <c r="AD33" s="310" t="s">
        <v>504</v>
      </c>
      <c r="AE33" s="309" t="s">
        <v>184</v>
      </c>
      <c r="AF33" s="38" t="s">
        <v>505</v>
      </c>
      <c r="AG33" s="38" t="s">
        <v>507</v>
      </c>
      <c r="AH33" s="38" t="s">
        <v>506</v>
      </c>
      <c r="AI33" s="310" t="s">
        <v>508</v>
      </c>
      <c r="AJ33" s="309"/>
      <c r="AK33" s="309"/>
      <c r="AS33" s="332" t="s">
        <v>515</v>
      </c>
      <c r="AT33" s="43" t="s">
        <v>516</v>
      </c>
      <c r="AU33" s="43" t="s">
        <v>517</v>
      </c>
      <c r="AV33" s="333" t="s">
        <v>475</v>
      </c>
      <c r="AW33" s="43" t="s">
        <v>518</v>
      </c>
      <c r="AX33" s="43" t="s">
        <v>519</v>
      </c>
      <c r="AY33" s="43" t="s">
        <v>520</v>
      </c>
    </row>
    <row r="34" spans="1:51" x14ac:dyDescent="0.2">
      <c r="A34" s="6" t="s">
        <v>13</v>
      </c>
      <c r="B34" t="str">
        <f>IF(MRN_1="N/A","No","Yes")</f>
        <v>No</v>
      </c>
      <c r="C34" s="311">
        <f>COUNTIF('Client 1'!P$9:P$19,"Pass")</f>
        <v>0</v>
      </c>
      <c r="D34" s="305" t="e">
        <f>C34/SUM(C34+E34)</f>
        <v>#DIV/0!</v>
      </c>
      <c r="E34">
        <f>COUNTIF('Client 1'!P$9:P$19,"Fail")</f>
        <v>0</v>
      </c>
      <c r="F34" s="312" t="e">
        <f>E34/SUM(C34+E34)</f>
        <v>#DIV/0!</v>
      </c>
      <c r="G34" s="311">
        <f>COUNTIF('Client 1'!P$23:P$26,"Pass")</f>
        <v>0</v>
      </c>
      <c r="H34" s="305" t="e">
        <f>G34/SUM(G34+I34)</f>
        <v>#DIV/0!</v>
      </c>
      <c r="I34" s="311">
        <f>COUNTIF('Client 1'!P$23:P$26,"Fail")</f>
        <v>0</v>
      </c>
      <c r="J34" s="312" t="e">
        <f>I34/SUM(I34+G34)</f>
        <v>#DIV/0!</v>
      </c>
      <c r="K34" s="311">
        <f>COUNTIF('Client 1'!P$30:P$33,"Pass")</f>
        <v>0</v>
      </c>
      <c r="L34" s="305" t="e">
        <f>K34/SUM(K34+M34)</f>
        <v>#DIV/0!</v>
      </c>
      <c r="M34" s="311">
        <f>COUNTIF('Client 1'!P$30:P$33,"Fail")</f>
        <v>0</v>
      </c>
      <c r="N34" s="312" t="e">
        <f>M34/SUM(M34+K34)</f>
        <v>#DIV/0!</v>
      </c>
      <c r="O34" s="311">
        <f>COUNTIF('Client 1'!P$37:P$49,"Pass")</f>
        <v>0</v>
      </c>
      <c r="P34" s="305" t="e">
        <f>O34/SUM(O34+Q34)</f>
        <v>#DIV/0!</v>
      </c>
      <c r="Q34" s="311">
        <f>COUNTIF('Client 1'!P$37:P$49,"fail")</f>
        <v>0</v>
      </c>
      <c r="R34" s="312" t="e">
        <f>Q34/SUM(Q34+O34)</f>
        <v>#DIV/0!</v>
      </c>
      <c r="S34" s="311">
        <f>COUNTIF('Client 1'!P$53:P$60,"pass")</f>
        <v>0</v>
      </c>
      <c r="T34" s="305" t="e">
        <f>S34/SUM(S34+U34)</f>
        <v>#DIV/0!</v>
      </c>
      <c r="U34" s="311">
        <f>COUNTIF('Client 1'!P$53:P$60,"fail")</f>
        <v>0</v>
      </c>
      <c r="V34" s="312" t="e">
        <f>U34/SUM(U34+S34)</f>
        <v>#DIV/0!</v>
      </c>
      <c r="W34" s="311">
        <f>COUNTIF('Client 1'!P$64:P$69,"pass")</f>
        <v>0</v>
      </c>
      <c r="X34" s="305" t="e">
        <f>W34/SUM(W34+Y34)</f>
        <v>#DIV/0!</v>
      </c>
      <c r="Y34">
        <f>COUNTIF('Client 1'!P$64:P$69,"fail")</f>
        <v>0</v>
      </c>
      <c r="Z34" s="312" t="e">
        <f>Y34/SUM(Y34+W34)</f>
        <v>#DIV/0!</v>
      </c>
      <c r="AA34" s="311">
        <f>COUNTIF('Client 1'!P$73:P$82,"pass")</f>
        <v>0</v>
      </c>
      <c r="AB34" s="305" t="e">
        <f>AA34/SUM(AA34+AC34)</f>
        <v>#DIV/0!</v>
      </c>
      <c r="AC34" s="311">
        <f>COUNTIF('Client 1'!P$73:P$82,"fail")</f>
        <v>0</v>
      </c>
      <c r="AD34" s="312" t="e">
        <f>AC34/SUM(AA34+AC34)</f>
        <v>#DIV/0!</v>
      </c>
      <c r="AE34" s="311">
        <f t="shared" ref="AE34:AE53" si="0">C34+E34+G34+I34+O34+Q34+S34+U34+W34+Y34+AA34+AC34</f>
        <v>0</v>
      </c>
      <c r="AF34">
        <f t="shared" ref="AF34:AF53" si="1">C34+G34+O34+S34+W34+AA34</f>
        <v>0</v>
      </c>
      <c r="AG34" s="305" t="e">
        <f>AF34/SUM(AF34+AH34)</f>
        <v>#DIV/0!</v>
      </c>
      <c r="AH34">
        <f t="shared" ref="AH34:AH53" si="2">E34+I34+Q34+U34+Y34+AC34</f>
        <v>0</v>
      </c>
      <c r="AI34" s="312" t="e">
        <f>AH34/SUM(AF34+AH34)</f>
        <v>#DIV/0!</v>
      </c>
      <c r="AJ34" s="309" t="e">
        <f>IF(AG34&gt;0.9,"Yes","No")</f>
        <v>#DIV/0!</v>
      </c>
      <c r="AK34" s="330">
        <f>'Client 3'!Z$6</f>
        <v>0</v>
      </c>
      <c r="AL34">
        <f t="shared" ref="AL34" si="3">COUNTIF(N91,"yes")</f>
        <v>0</v>
      </c>
      <c r="AM34">
        <f t="shared" ref="AM34" si="4">COUNTIF(O91,"yes")</f>
        <v>0</v>
      </c>
      <c r="AN34">
        <f t="shared" ref="AN34" si="5">SUM(AL34:AM34)</f>
        <v>0</v>
      </c>
      <c r="AS34" s="334">
        <f>C34+E34</f>
        <v>0</v>
      </c>
      <c r="AT34" s="2">
        <f>G34+I34</f>
        <v>0</v>
      </c>
      <c r="AU34" s="2">
        <f>O34+Q34</f>
        <v>0</v>
      </c>
      <c r="AV34" s="335">
        <f>K34+M34</f>
        <v>0</v>
      </c>
      <c r="AW34" s="2">
        <f>S34+U34</f>
        <v>0</v>
      </c>
      <c r="AX34" s="2">
        <f>W34+Y34</f>
        <v>0</v>
      </c>
      <c r="AY34" s="2">
        <f>AA34+AC34</f>
        <v>0</v>
      </c>
    </row>
    <row r="35" spans="1:51" x14ac:dyDescent="0.2">
      <c r="A35" t="s">
        <v>15</v>
      </c>
      <c r="B35" t="str">
        <f>IF(MRN_2="N/A","No","Yes")</f>
        <v>No</v>
      </c>
      <c r="C35" s="311">
        <f>COUNTIF('Client 2'!P$9:P$19,"Pass")</f>
        <v>0</v>
      </c>
      <c r="D35" s="305" t="e">
        <f t="shared" ref="D35:D53" si="6">C35/SUM(C35+E35)</f>
        <v>#DIV/0!</v>
      </c>
      <c r="E35">
        <f>COUNTIF('Client 2'!P$9:P$19,"Fail")</f>
        <v>0</v>
      </c>
      <c r="F35" s="312" t="e">
        <f t="shared" ref="F35:F53" si="7">E35/SUM(C35+E35)</f>
        <v>#DIV/0!</v>
      </c>
      <c r="G35" s="311">
        <f>COUNTIF('Client 2'!P$23:P$26,"Pass")</f>
        <v>0</v>
      </c>
      <c r="H35" s="305" t="e">
        <f t="shared" ref="H35:H53" si="8">G35/SUM(G35+I35)</f>
        <v>#DIV/0!</v>
      </c>
      <c r="I35" s="311">
        <f>COUNTIF('Client 2'!P$23:P$26,"Fail")</f>
        <v>0</v>
      </c>
      <c r="J35" s="312" t="e">
        <f t="shared" ref="J35:J53" si="9">I35/SUM(I35+G35)</f>
        <v>#DIV/0!</v>
      </c>
      <c r="K35" s="311">
        <f>COUNTIF('Client 2'!P$30:U$33,"Pass")</f>
        <v>0</v>
      </c>
      <c r="L35" s="305" t="e">
        <f t="shared" ref="L35:L53" si="10">K35/SUM(K35+M35)</f>
        <v>#DIV/0!</v>
      </c>
      <c r="M35" s="311">
        <f>COUNTIF('Client 2'!P$30:W$33,"Fail")</f>
        <v>0</v>
      </c>
      <c r="N35" s="312" t="e">
        <f t="shared" ref="N35:N53" si="11">M35/SUM(M35+K35)</f>
        <v>#DIV/0!</v>
      </c>
      <c r="O35" s="311">
        <f>COUNTIF('Client 2'!P$37:P$49,"Pass")</f>
        <v>0</v>
      </c>
      <c r="P35" s="305" t="e">
        <f t="shared" ref="P35:P53" si="12">O35/SUM(O35+Q35)</f>
        <v>#DIV/0!</v>
      </c>
      <c r="Q35" s="311">
        <f>COUNTIF('Client 2'!P$37:P$49,"fail")</f>
        <v>0</v>
      </c>
      <c r="R35" s="312" t="e">
        <f t="shared" ref="R35:R53" si="13">Q35/SUM(Q35+O35)</f>
        <v>#DIV/0!</v>
      </c>
      <c r="S35" s="311">
        <f>COUNTIF('Client 2'!P$53:P$60,"pass")</f>
        <v>0</v>
      </c>
      <c r="T35" s="305" t="e">
        <f t="shared" ref="T35:T53" si="14">S35/SUM(S35+U35)</f>
        <v>#DIV/0!</v>
      </c>
      <c r="U35" s="311">
        <f>COUNTIF('Client 2'!P$53:P$60,"fail")</f>
        <v>0</v>
      </c>
      <c r="V35" s="312" t="e">
        <f t="shared" ref="V35:V53" si="15">U35/SUM(U35+S35)</f>
        <v>#DIV/0!</v>
      </c>
      <c r="W35" s="311">
        <f>COUNTIF('Client 2'!P$64:P$69,"pass")</f>
        <v>0</v>
      </c>
      <c r="X35" s="305" t="e">
        <f t="shared" ref="X35:X52" si="16">W35/SUM(W35+Y35)</f>
        <v>#DIV/0!</v>
      </c>
      <c r="Y35">
        <f>COUNTIF('Client 2'!P$60:P$66,"fail")</f>
        <v>0</v>
      </c>
      <c r="Z35" s="312" t="e">
        <f t="shared" ref="Z35:Z52" si="17">Y35/SUM(Y35+W35)</f>
        <v>#DIV/0!</v>
      </c>
      <c r="AA35" s="311">
        <f>COUNTIF('Client 2'!P$73:P$82,"pass")</f>
        <v>0</v>
      </c>
      <c r="AB35" s="305" t="e">
        <f t="shared" ref="AB35:AB53" si="18">AA35/SUM(AA35+AC35)</f>
        <v>#DIV/0!</v>
      </c>
      <c r="AC35" s="311">
        <f>COUNTIF('Client 2'!P$73:P$82,"fail")</f>
        <v>0</v>
      </c>
      <c r="AD35" s="312" t="e">
        <f t="shared" ref="AD35:AD53" si="19">AC35/SUM(AA35+AC35)</f>
        <v>#DIV/0!</v>
      </c>
      <c r="AE35" s="311">
        <f t="shared" si="0"/>
        <v>0</v>
      </c>
      <c r="AF35">
        <f t="shared" si="1"/>
        <v>0</v>
      </c>
      <c r="AG35" s="305" t="e">
        <f t="shared" ref="AG35:AG53" si="20">AF35/SUM(AF35+AH35)</f>
        <v>#DIV/0!</v>
      </c>
      <c r="AH35">
        <f t="shared" si="2"/>
        <v>0</v>
      </c>
      <c r="AI35" s="312" t="e">
        <f t="shared" ref="AI35:AI53" si="21">AH35/SUM(AF35+AH35)</f>
        <v>#DIV/0!</v>
      </c>
      <c r="AJ35" s="309" t="e">
        <f t="shared" ref="AJ35:AJ53" si="22">IF(AG35&gt;0.9,"Yes","No")</f>
        <v>#DIV/0!</v>
      </c>
      <c r="AK35" s="330">
        <f>'Client 2'!Z$6</f>
        <v>0</v>
      </c>
      <c r="AL35">
        <f t="shared" ref="AL35:AM35" si="23">COUNTIF(N92,"yes")</f>
        <v>0</v>
      </c>
      <c r="AM35">
        <f t="shared" si="23"/>
        <v>0</v>
      </c>
      <c r="AN35">
        <f t="shared" ref="AN35:AN53" si="24">SUM(AL35:AM35)</f>
        <v>0</v>
      </c>
      <c r="AS35" s="334">
        <f t="shared" ref="AS35:AS53" si="25">C35+E35</f>
        <v>0</v>
      </c>
      <c r="AT35" s="2">
        <f t="shared" ref="AT35:AT53" si="26">G35+I35</f>
        <v>0</v>
      </c>
      <c r="AU35" s="2">
        <f t="shared" ref="AU35:AU53" si="27">O35+Q35</f>
        <v>0</v>
      </c>
      <c r="AV35" s="335">
        <f t="shared" ref="AV35:AV53" si="28">K35+M35</f>
        <v>0</v>
      </c>
      <c r="AW35" s="2">
        <f t="shared" ref="AW35:AW53" si="29">S35+U35</f>
        <v>0</v>
      </c>
      <c r="AX35" s="2">
        <f t="shared" ref="AX35:AX53" si="30">W35+Y35</f>
        <v>0</v>
      </c>
      <c r="AY35" s="2">
        <f t="shared" ref="AY35:AY53" si="31">AA35+AC35</f>
        <v>0</v>
      </c>
    </row>
    <row r="36" spans="1:51" x14ac:dyDescent="0.2">
      <c r="A36" t="s">
        <v>16</v>
      </c>
      <c r="B36" t="str">
        <f>IF(MRN_3="N/A","No","Yes")</f>
        <v>No</v>
      </c>
      <c r="C36" s="311">
        <f>COUNTIF('Client 3'!P$9:P$19,"Pass")</f>
        <v>0</v>
      </c>
      <c r="D36" s="305" t="e">
        <f t="shared" si="6"/>
        <v>#DIV/0!</v>
      </c>
      <c r="E36">
        <f>COUNTIF('Client 3'!P$9:P$19,"Fail")</f>
        <v>0</v>
      </c>
      <c r="F36" s="312" t="e">
        <f t="shared" si="7"/>
        <v>#DIV/0!</v>
      </c>
      <c r="G36" s="311">
        <f>COUNTIF('Client 3'!P$23:P$26,"Pass")</f>
        <v>0</v>
      </c>
      <c r="H36" s="305" t="e">
        <f t="shared" si="8"/>
        <v>#DIV/0!</v>
      </c>
      <c r="I36" s="311">
        <f>COUNTIF('Client 3'!P$23:P$26,"Fail")</f>
        <v>0</v>
      </c>
      <c r="J36" s="312" t="e">
        <f t="shared" si="9"/>
        <v>#DIV/0!</v>
      </c>
      <c r="K36" s="311">
        <f>COUNTIF('Client 3'!P$30:U$33,"Pass")</f>
        <v>0</v>
      </c>
      <c r="L36" s="305" t="e">
        <f t="shared" si="10"/>
        <v>#DIV/0!</v>
      </c>
      <c r="M36" s="311">
        <f>COUNTIF('Client 3'!P$30:W$33,"Fail")</f>
        <v>0</v>
      </c>
      <c r="N36" s="312" t="e">
        <f t="shared" si="11"/>
        <v>#DIV/0!</v>
      </c>
      <c r="O36" s="311">
        <f>COUNTIF('Client 3'!P$37:P$49,"Pass")</f>
        <v>0</v>
      </c>
      <c r="P36" s="305" t="e">
        <f t="shared" si="12"/>
        <v>#DIV/0!</v>
      </c>
      <c r="Q36" s="311">
        <f>COUNTIF('Client 3'!P$37:P$49,"fail")</f>
        <v>0</v>
      </c>
      <c r="R36" s="312" t="e">
        <f t="shared" si="13"/>
        <v>#DIV/0!</v>
      </c>
      <c r="S36" s="311">
        <f>COUNTIF('Client 3'!P$53:P$60,"pass")</f>
        <v>0</v>
      </c>
      <c r="T36" s="305" t="e">
        <f t="shared" si="14"/>
        <v>#DIV/0!</v>
      </c>
      <c r="U36" s="311">
        <f>COUNTIF('Client 3'!P$53:P$60,"fail")</f>
        <v>0</v>
      </c>
      <c r="V36" s="312" t="e">
        <f t="shared" si="15"/>
        <v>#DIV/0!</v>
      </c>
      <c r="W36" s="311">
        <f>COUNTIF('Client 3'!P$64:P$69,"pass")</f>
        <v>0</v>
      </c>
      <c r="X36" s="305" t="e">
        <f t="shared" si="16"/>
        <v>#DIV/0!</v>
      </c>
      <c r="Y36">
        <f>COUNTIF('Client 3'!P$60:P$66,"fail")</f>
        <v>0</v>
      </c>
      <c r="Z36" s="312" t="e">
        <f t="shared" si="17"/>
        <v>#DIV/0!</v>
      </c>
      <c r="AA36" s="311">
        <f>COUNTIF('Client 3'!P$73:P$82,"pass")</f>
        <v>0</v>
      </c>
      <c r="AB36" s="305" t="e">
        <f t="shared" si="18"/>
        <v>#DIV/0!</v>
      </c>
      <c r="AC36" s="311">
        <f>COUNTIF('Client 3'!P$73:P$82,"fail")</f>
        <v>0</v>
      </c>
      <c r="AD36" s="312" t="e">
        <f t="shared" si="19"/>
        <v>#DIV/0!</v>
      </c>
      <c r="AE36" s="311">
        <f t="shared" si="0"/>
        <v>0</v>
      </c>
      <c r="AF36">
        <f t="shared" si="1"/>
        <v>0</v>
      </c>
      <c r="AG36" s="305" t="e">
        <f t="shared" si="20"/>
        <v>#DIV/0!</v>
      </c>
      <c r="AH36">
        <f t="shared" si="2"/>
        <v>0</v>
      </c>
      <c r="AI36" s="312" t="e">
        <f t="shared" si="21"/>
        <v>#DIV/0!</v>
      </c>
      <c r="AJ36" s="309" t="e">
        <f t="shared" si="22"/>
        <v>#DIV/0!</v>
      </c>
      <c r="AK36" s="330">
        <f>'Client 3'!Z$6</f>
        <v>0</v>
      </c>
      <c r="AL36">
        <f t="shared" ref="AL36:AM36" si="32">COUNTIF(N93,"yes")</f>
        <v>0</v>
      </c>
      <c r="AM36">
        <f t="shared" si="32"/>
        <v>0</v>
      </c>
      <c r="AN36">
        <f t="shared" si="24"/>
        <v>0</v>
      </c>
      <c r="AS36" s="334">
        <f t="shared" si="25"/>
        <v>0</v>
      </c>
      <c r="AT36" s="2">
        <f t="shared" si="26"/>
        <v>0</v>
      </c>
      <c r="AU36" s="2">
        <f t="shared" si="27"/>
        <v>0</v>
      </c>
      <c r="AV36" s="335">
        <f t="shared" si="28"/>
        <v>0</v>
      </c>
      <c r="AW36" s="2">
        <f t="shared" si="29"/>
        <v>0</v>
      </c>
      <c r="AX36" s="2">
        <f t="shared" si="30"/>
        <v>0</v>
      </c>
      <c r="AY36" s="2">
        <f t="shared" si="31"/>
        <v>0</v>
      </c>
    </row>
    <row r="37" spans="1:51" x14ac:dyDescent="0.2">
      <c r="A37" t="s">
        <v>18</v>
      </c>
      <c r="B37" t="str">
        <f>IF(MRN_4="N/A","No","Yes")</f>
        <v>No</v>
      </c>
      <c r="C37" s="311">
        <f>COUNTIF('Client 4'!P$9:P$19,"Pass")</f>
        <v>0</v>
      </c>
      <c r="D37" s="305" t="e">
        <f t="shared" si="6"/>
        <v>#DIV/0!</v>
      </c>
      <c r="E37">
        <f>COUNTIF('Client 4'!P$9:P$19,"Fail")</f>
        <v>0</v>
      </c>
      <c r="F37" s="312" t="e">
        <f t="shared" si="7"/>
        <v>#DIV/0!</v>
      </c>
      <c r="G37" s="311">
        <f>COUNTIF('Client 4'!P$23:P$26,"Pass")</f>
        <v>0</v>
      </c>
      <c r="H37" s="305" t="e">
        <f t="shared" si="8"/>
        <v>#DIV/0!</v>
      </c>
      <c r="I37" s="311">
        <f>COUNTIF('Client 4'!P$23:P$26,"Fail")</f>
        <v>0</v>
      </c>
      <c r="J37" s="312" t="e">
        <f t="shared" si="9"/>
        <v>#DIV/0!</v>
      </c>
      <c r="K37" s="311">
        <f>COUNTIF('Client 4'!P$30:T$33,"Pass")</f>
        <v>0</v>
      </c>
      <c r="L37" s="305" t="e">
        <f t="shared" si="10"/>
        <v>#DIV/0!</v>
      </c>
      <c r="M37" s="311">
        <f>COUNTIF('Client 4'!P$30:P$33,"Fail")</f>
        <v>0</v>
      </c>
      <c r="N37" s="312" t="e">
        <f t="shared" si="11"/>
        <v>#DIV/0!</v>
      </c>
      <c r="O37" s="311">
        <f>COUNTIF('Client 4'!P$37:P$49,"Pass")</f>
        <v>0</v>
      </c>
      <c r="P37" s="305" t="e">
        <f t="shared" si="12"/>
        <v>#DIV/0!</v>
      </c>
      <c r="Q37" s="311">
        <f>COUNTIF('Client 4'!P$37:P$49,"fail")</f>
        <v>0</v>
      </c>
      <c r="R37" s="312" t="e">
        <f t="shared" si="13"/>
        <v>#DIV/0!</v>
      </c>
      <c r="S37" s="311">
        <f>COUNTIF('Client 4'!P$53:P$60,"pass")</f>
        <v>0</v>
      </c>
      <c r="T37" s="305" t="e">
        <f t="shared" si="14"/>
        <v>#DIV/0!</v>
      </c>
      <c r="U37" s="311">
        <f>COUNTIF('Client 4'!P$53:P$60,"fail")</f>
        <v>0</v>
      </c>
      <c r="V37" s="312" t="e">
        <f t="shared" si="15"/>
        <v>#DIV/0!</v>
      </c>
      <c r="W37" s="311">
        <f>COUNTIF('Client 4'!P$64:P$69,"pass")</f>
        <v>0</v>
      </c>
      <c r="X37" s="305" t="e">
        <f t="shared" si="16"/>
        <v>#DIV/0!</v>
      </c>
      <c r="Y37">
        <f>COUNTIF('Client 4'!P$60:P$66,"fail")</f>
        <v>0</v>
      </c>
      <c r="Z37" s="312" t="e">
        <f t="shared" si="17"/>
        <v>#DIV/0!</v>
      </c>
      <c r="AA37" s="311">
        <f>COUNTIF('Client 4'!P$73:P$82,"pass")</f>
        <v>0</v>
      </c>
      <c r="AB37" s="305" t="e">
        <f t="shared" si="18"/>
        <v>#DIV/0!</v>
      </c>
      <c r="AC37" s="311">
        <f>COUNTIF('Client 4'!P$73:P$82,"fail")</f>
        <v>0</v>
      </c>
      <c r="AD37" s="312" t="e">
        <f t="shared" si="19"/>
        <v>#DIV/0!</v>
      </c>
      <c r="AE37" s="311">
        <f t="shared" si="0"/>
        <v>0</v>
      </c>
      <c r="AF37">
        <f t="shared" si="1"/>
        <v>0</v>
      </c>
      <c r="AG37" s="305" t="e">
        <f t="shared" si="20"/>
        <v>#DIV/0!</v>
      </c>
      <c r="AH37">
        <f t="shared" si="2"/>
        <v>0</v>
      </c>
      <c r="AI37" s="312" t="e">
        <f t="shared" si="21"/>
        <v>#DIV/0!</v>
      </c>
      <c r="AJ37" s="309" t="e">
        <f t="shared" si="22"/>
        <v>#DIV/0!</v>
      </c>
      <c r="AK37" s="330">
        <f>'Client 4'!Y$6</f>
        <v>0</v>
      </c>
      <c r="AL37">
        <f t="shared" ref="AL37:AM37" si="33">COUNTIF(N94,"yes")</f>
        <v>0</v>
      </c>
      <c r="AM37">
        <f t="shared" si="33"/>
        <v>0</v>
      </c>
      <c r="AN37">
        <f t="shared" si="24"/>
        <v>0</v>
      </c>
      <c r="AS37" s="334">
        <f t="shared" si="25"/>
        <v>0</v>
      </c>
      <c r="AT37" s="2">
        <f t="shared" si="26"/>
        <v>0</v>
      </c>
      <c r="AU37" s="2">
        <f t="shared" si="27"/>
        <v>0</v>
      </c>
      <c r="AV37" s="335">
        <f t="shared" si="28"/>
        <v>0</v>
      </c>
      <c r="AW37" s="2">
        <f t="shared" si="29"/>
        <v>0</v>
      </c>
      <c r="AX37" s="2">
        <f t="shared" si="30"/>
        <v>0</v>
      </c>
      <c r="AY37" s="2">
        <f t="shared" si="31"/>
        <v>0</v>
      </c>
    </row>
    <row r="38" spans="1:51" x14ac:dyDescent="0.2">
      <c r="A38" t="s">
        <v>19</v>
      </c>
      <c r="B38" t="str">
        <f>IF(MRN_5="N/A","No","Yes")</f>
        <v>No</v>
      </c>
      <c r="C38" s="311">
        <f>COUNTIF('Client 5'!P$9:P$19,"Pass")</f>
        <v>0</v>
      </c>
      <c r="D38" s="305" t="e">
        <f t="shared" si="6"/>
        <v>#DIV/0!</v>
      </c>
      <c r="E38">
        <f>COUNTIF('Client 5'!P$9:P$19,"Fail")</f>
        <v>0</v>
      </c>
      <c r="F38" s="312" t="e">
        <f t="shared" si="7"/>
        <v>#DIV/0!</v>
      </c>
      <c r="G38" s="311">
        <f>COUNTIF('Client 5'!P$23:P$26,"Pass")</f>
        <v>0</v>
      </c>
      <c r="H38" s="305" t="e">
        <f t="shared" si="8"/>
        <v>#DIV/0!</v>
      </c>
      <c r="I38" s="311">
        <f>COUNTIF('Client 5'!P$23:P$26,"Fail")</f>
        <v>0</v>
      </c>
      <c r="J38" s="312" t="e">
        <f t="shared" si="9"/>
        <v>#DIV/0!</v>
      </c>
      <c r="K38" s="311">
        <f>COUNTIF('Client 5'!P$30:T$33,"Pass")</f>
        <v>0</v>
      </c>
      <c r="L38" s="305" t="e">
        <f t="shared" si="10"/>
        <v>#DIV/0!</v>
      </c>
      <c r="M38" s="311">
        <f>COUNTIF('Client 5'!P$30:P$33,"Fail")</f>
        <v>0</v>
      </c>
      <c r="N38" s="312" t="e">
        <f t="shared" si="11"/>
        <v>#DIV/0!</v>
      </c>
      <c r="O38" s="311">
        <f>COUNTIF('Client 5'!P$37:P$49,"Pass")</f>
        <v>0</v>
      </c>
      <c r="P38" s="305" t="e">
        <f t="shared" si="12"/>
        <v>#DIV/0!</v>
      </c>
      <c r="Q38" s="311">
        <f>COUNTIF('Client 5'!P$37:P$49,"fail")</f>
        <v>0</v>
      </c>
      <c r="R38" s="312" t="e">
        <f t="shared" si="13"/>
        <v>#DIV/0!</v>
      </c>
      <c r="S38" s="311">
        <f>COUNTIF('Client 5'!P$53:P$60,"pass")</f>
        <v>0</v>
      </c>
      <c r="T38" s="305" t="e">
        <f t="shared" si="14"/>
        <v>#DIV/0!</v>
      </c>
      <c r="U38" s="311">
        <f>COUNTIF('Client 5'!P$53:P$60,"fail")</f>
        <v>0</v>
      </c>
      <c r="V38" s="312" t="e">
        <f t="shared" si="15"/>
        <v>#DIV/0!</v>
      </c>
      <c r="W38" s="311">
        <f>COUNTIF('Client 5'!P$64:P$69,"pass")</f>
        <v>0</v>
      </c>
      <c r="X38" s="305" t="e">
        <f t="shared" si="16"/>
        <v>#DIV/0!</v>
      </c>
      <c r="Y38">
        <f>COUNTIF('Client 5'!P$60:P$66,"fail")</f>
        <v>0</v>
      </c>
      <c r="Z38" s="312" t="e">
        <f t="shared" si="17"/>
        <v>#DIV/0!</v>
      </c>
      <c r="AA38" s="311">
        <f>COUNTIF('Client 5'!P$73:P$82,"pass")</f>
        <v>0</v>
      </c>
      <c r="AB38" s="305" t="e">
        <f t="shared" si="18"/>
        <v>#DIV/0!</v>
      </c>
      <c r="AC38" s="311">
        <f>COUNTIF('Client 5'!P$73:P$82,"fail")</f>
        <v>0</v>
      </c>
      <c r="AD38" s="312" t="e">
        <f t="shared" si="19"/>
        <v>#DIV/0!</v>
      </c>
      <c r="AE38" s="311">
        <f t="shared" si="0"/>
        <v>0</v>
      </c>
      <c r="AF38">
        <f t="shared" si="1"/>
        <v>0</v>
      </c>
      <c r="AG38" s="305" t="e">
        <f t="shared" si="20"/>
        <v>#DIV/0!</v>
      </c>
      <c r="AH38">
        <f t="shared" si="2"/>
        <v>0</v>
      </c>
      <c r="AI38" s="312" t="e">
        <f t="shared" si="21"/>
        <v>#DIV/0!</v>
      </c>
      <c r="AJ38" s="309" t="e">
        <f t="shared" si="22"/>
        <v>#DIV/0!</v>
      </c>
      <c r="AK38" s="330">
        <f>'Client 5'!Y$6</f>
        <v>0</v>
      </c>
      <c r="AL38">
        <f t="shared" ref="AL38:AM38" si="34">COUNTIF(N95,"yes")</f>
        <v>0</v>
      </c>
      <c r="AM38">
        <f t="shared" si="34"/>
        <v>0</v>
      </c>
      <c r="AN38">
        <f t="shared" si="24"/>
        <v>0</v>
      </c>
      <c r="AS38" s="334">
        <f t="shared" si="25"/>
        <v>0</v>
      </c>
      <c r="AT38" s="2">
        <f t="shared" si="26"/>
        <v>0</v>
      </c>
      <c r="AU38" s="2">
        <f t="shared" si="27"/>
        <v>0</v>
      </c>
      <c r="AV38" s="335">
        <f t="shared" si="28"/>
        <v>0</v>
      </c>
      <c r="AW38" s="2">
        <f t="shared" si="29"/>
        <v>0</v>
      </c>
      <c r="AX38" s="2">
        <f t="shared" si="30"/>
        <v>0</v>
      </c>
      <c r="AY38" s="2">
        <f t="shared" si="31"/>
        <v>0</v>
      </c>
    </row>
    <row r="39" spans="1:51" x14ac:dyDescent="0.2">
      <c r="A39" t="s">
        <v>20</v>
      </c>
      <c r="B39" t="str">
        <f>IF(MRN_6="N/A","No","Yes")</f>
        <v>No</v>
      </c>
      <c r="C39" s="311">
        <f>COUNTIF('Client 6'!P$9:P$19,"Pass")</f>
        <v>0</v>
      </c>
      <c r="D39" s="305" t="e">
        <f t="shared" si="6"/>
        <v>#DIV/0!</v>
      </c>
      <c r="E39">
        <f>COUNTIF('Client 6'!P$9:P$19,"Fail")</f>
        <v>0</v>
      </c>
      <c r="F39" s="312" t="e">
        <f t="shared" si="7"/>
        <v>#DIV/0!</v>
      </c>
      <c r="G39" s="311">
        <f>COUNTIF('Client 6'!P$23:P$26,"Pass")</f>
        <v>0</v>
      </c>
      <c r="H39" s="305" t="e">
        <f t="shared" si="8"/>
        <v>#DIV/0!</v>
      </c>
      <c r="I39" s="311">
        <f>COUNTIF('Client 6'!P$23:P$26,"Fail")</f>
        <v>0</v>
      </c>
      <c r="J39" s="312" t="e">
        <f t="shared" si="9"/>
        <v>#DIV/0!</v>
      </c>
      <c r="K39" s="311">
        <f>COUNTIF('Client 6'!P$30:T$33,"Pass")</f>
        <v>0</v>
      </c>
      <c r="L39" s="305" t="e">
        <f t="shared" si="10"/>
        <v>#DIV/0!</v>
      </c>
      <c r="M39" s="311">
        <f>COUNTIF('Client 6'!P$30:P$33,"Fail")</f>
        <v>0</v>
      </c>
      <c r="N39" s="312" t="e">
        <f t="shared" si="11"/>
        <v>#DIV/0!</v>
      </c>
      <c r="O39" s="311">
        <f>COUNTIF('Client 6'!P$37:P$49,"Pass")</f>
        <v>0</v>
      </c>
      <c r="P39" s="305" t="e">
        <f t="shared" si="12"/>
        <v>#DIV/0!</v>
      </c>
      <c r="Q39" s="311">
        <f>COUNTIF('Client 6'!P$37:P$49,"fail")</f>
        <v>0</v>
      </c>
      <c r="R39" s="312" t="e">
        <f t="shared" si="13"/>
        <v>#DIV/0!</v>
      </c>
      <c r="S39" s="311">
        <f>COUNTIF('Client 6'!P$53:P$60,"pass")</f>
        <v>0</v>
      </c>
      <c r="T39" s="305" t="e">
        <f t="shared" si="14"/>
        <v>#DIV/0!</v>
      </c>
      <c r="U39" s="311">
        <f>COUNTIF('Client 6'!P$53:P$60,"fail")</f>
        <v>0</v>
      </c>
      <c r="V39" s="312" t="e">
        <f t="shared" si="15"/>
        <v>#DIV/0!</v>
      </c>
      <c r="W39" s="311">
        <f>COUNTIF('Client 6'!P$64:P$69,"pass")</f>
        <v>0</v>
      </c>
      <c r="X39" s="305" t="e">
        <f t="shared" si="16"/>
        <v>#DIV/0!</v>
      </c>
      <c r="Y39">
        <f>COUNTIF('Client 6'!P$60:P$66,"fail")</f>
        <v>0</v>
      </c>
      <c r="Z39" s="312" t="e">
        <f t="shared" si="17"/>
        <v>#DIV/0!</v>
      </c>
      <c r="AA39" s="311">
        <f>COUNTIF('Client 6'!P$73:P$82,"pass")</f>
        <v>0</v>
      </c>
      <c r="AB39" s="305" t="e">
        <f t="shared" si="18"/>
        <v>#DIV/0!</v>
      </c>
      <c r="AC39" s="311">
        <f>COUNTIF('Client 6'!P$73:P$82,"fail")</f>
        <v>0</v>
      </c>
      <c r="AD39" s="312" t="e">
        <f t="shared" si="19"/>
        <v>#DIV/0!</v>
      </c>
      <c r="AE39" s="311">
        <f t="shared" si="0"/>
        <v>0</v>
      </c>
      <c r="AF39">
        <f t="shared" si="1"/>
        <v>0</v>
      </c>
      <c r="AG39" s="305" t="e">
        <f t="shared" si="20"/>
        <v>#DIV/0!</v>
      </c>
      <c r="AH39">
        <f t="shared" si="2"/>
        <v>0</v>
      </c>
      <c r="AI39" s="312" t="e">
        <f t="shared" si="21"/>
        <v>#DIV/0!</v>
      </c>
      <c r="AJ39" s="309" t="e">
        <f t="shared" si="22"/>
        <v>#DIV/0!</v>
      </c>
      <c r="AK39" s="330">
        <f>'Client 6'!Y$6</f>
        <v>0</v>
      </c>
      <c r="AL39">
        <f t="shared" ref="AL39:AM39" si="35">COUNTIF(N96,"yes")</f>
        <v>0</v>
      </c>
      <c r="AM39">
        <f t="shared" si="35"/>
        <v>0</v>
      </c>
      <c r="AN39">
        <f t="shared" si="24"/>
        <v>0</v>
      </c>
      <c r="AS39" s="334">
        <f t="shared" si="25"/>
        <v>0</v>
      </c>
      <c r="AT39" s="2">
        <f t="shared" si="26"/>
        <v>0</v>
      </c>
      <c r="AU39" s="2">
        <f t="shared" si="27"/>
        <v>0</v>
      </c>
      <c r="AV39" s="335">
        <f t="shared" si="28"/>
        <v>0</v>
      </c>
      <c r="AW39" s="2">
        <f t="shared" si="29"/>
        <v>0</v>
      </c>
      <c r="AX39" s="2">
        <f t="shared" si="30"/>
        <v>0</v>
      </c>
      <c r="AY39" s="2">
        <f t="shared" si="31"/>
        <v>0</v>
      </c>
    </row>
    <row r="40" spans="1:51" x14ac:dyDescent="0.2">
      <c r="A40" t="s">
        <v>21</v>
      </c>
      <c r="B40" t="str">
        <f>IF(MRN_7="N/A","No","Yes")</f>
        <v>No</v>
      </c>
      <c r="C40" s="311">
        <f>COUNTIF('Client 7'!P$9:P$19,"Pass")</f>
        <v>0</v>
      </c>
      <c r="D40" s="305" t="e">
        <f t="shared" si="6"/>
        <v>#DIV/0!</v>
      </c>
      <c r="E40">
        <f>COUNTIF('Client 7'!P$9:P$19,"Fail")</f>
        <v>0</v>
      </c>
      <c r="F40" s="312" t="e">
        <f t="shared" si="7"/>
        <v>#DIV/0!</v>
      </c>
      <c r="G40" s="311">
        <f>COUNTIF('Client 7'!P$23:P$26,"Pass")</f>
        <v>0</v>
      </c>
      <c r="H40" s="305" t="e">
        <f t="shared" si="8"/>
        <v>#DIV/0!</v>
      </c>
      <c r="I40" s="311">
        <f>COUNTIF('Client 7'!P$23:P$26,"Fail")</f>
        <v>0</v>
      </c>
      <c r="J40" s="312" t="e">
        <f t="shared" si="9"/>
        <v>#DIV/0!</v>
      </c>
      <c r="K40" s="311">
        <f>COUNTIF('Client 7'!P$30:T$33,"Pass")</f>
        <v>0</v>
      </c>
      <c r="L40" s="305" t="e">
        <f t="shared" si="10"/>
        <v>#DIV/0!</v>
      </c>
      <c r="M40" s="311">
        <f>COUNTIF('Client 7'!P$30:P$33,"Fail")</f>
        <v>0</v>
      </c>
      <c r="N40" s="312" t="e">
        <f t="shared" si="11"/>
        <v>#DIV/0!</v>
      </c>
      <c r="O40" s="311">
        <f>COUNTIF('Client 7'!P$37:P$49,"Pass")</f>
        <v>0</v>
      </c>
      <c r="P40" s="305" t="e">
        <f t="shared" si="12"/>
        <v>#DIV/0!</v>
      </c>
      <c r="Q40" s="311">
        <f>COUNTIF('Client 7'!P$37:P$49,"fail")</f>
        <v>0</v>
      </c>
      <c r="R40" s="312" t="e">
        <f t="shared" si="13"/>
        <v>#DIV/0!</v>
      </c>
      <c r="S40" s="311">
        <f>COUNTIF('Client 7'!P$53:P$60,"pass")</f>
        <v>0</v>
      </c>
      <c r="T40" s="305" t="e">
        <f t="shared" si="14"/>
        <v>#DIV/0!</v>
      </c>
      <c r="U40" s="311">
        <f>COUNTIF('Client 7'!P$53:P$60,"fail")</f>
        <v>0</v>
      </c>
      <c r="V40" s="312" t="e">
        <f t="shared" si="15"/>
        <v>#DIV/0!</v>
      </c>
      <c r="W40" s="311">
        <f>COUNTIF('Client 7'!P$64:P$69,"pass")</f>
        <v>0</v>
      </c>
      <c r="X40" s="305" t="e">
        <f t="shared" si="16"/>
        <v>#DIV/0!</v>
      </c>
      <c r="Y40">
        <f>COUNTIF('Client 7'!P$60:P$66,"fail")</f>
        <v>0</v>
      </c>
      <c r="Z40" s="312" t="e">
        <f t="shared" si="17"/>
        <v>#DIV/0!</v>
      </c>
      <c r="AA40" s="311">
        <f>COUNTIF('Client 7'!P$73:P$82,"pass")</f>
        <v>0</v>
      </c>
      <c r="AB40" s="305" t="e">
        <f t="shared" si="18"/>
        <v>#DIV/0!</v>
      </c>
      <c r="AC40" s="311">
        <f>COUNTIF('Client 7'!P$73:P$82,"fail")</f>
        <v>0</v>
      </c>
      <c r="AD40" s="312" t="e">
        <f t="shared" si="19"/>
        <v>#DIV/0!</v>
      </c>
      <c r="AE40" s="311">
        <f t="shared" si="0"/>
        <v>0</v>
      </c>
      <c r="AF40">
        <f t="shared" si="1"/>
        <v>0</v>
      </c>
      <c r="AG40" s="305" t="e">
        <f t="shared" si="20"/>
        <v>#DIV/0!</v>
      </c>
      <c r="AH40">
        <f t="shared" si="2"/>
        <v>0</v>
      </c>
      <c r="AI40" s="312" t="e">
        <f t="shared" si="21"/>
        <v>#DIV/0!</v>
      </c>
      <c r="AJ40" s="309" t="e">
        <f t="shared" si="22"/>
        <v>#DIV/0!</v>
      </c>
      <c r="AK40" s="330">
        <f>'Client 7'!Y$6</f>
        <v>0</v>
      </c>
      <c r="AL40">
        <f t="shared" ref="AL40:AM40" si="36">COUNTIF(N97,"yes")</f>
        <v>0</v>
      </c>
      <c r="AM40">
        <f t="shared" si="36"/>
        <v>0</v>
      </c>
      <c r="AN40">
        <f t="shared" si="24"/>
        <v>0</v>
      </c>
      <c r="AS40" s="334">
        <f t="shared" si="25"/>
        <v>0</v>
      </c>
      <c r="AT40" s="2">
        <f t="shared" si="26"/>
        <v>0</v>
      </c>
      <c r="AU40" s="2">
        <f t="shared" si="27"/>
        <v>0</v>
      </c>
      <c r="AV40" s="335">
        <f t="shared" si="28"/>
        <v>0</v>
      </c>
      <c r="AW40" s="2">
        <f t="shared" si="29"/>
        <v>0</v>
      </c>
      <c r="AX40" s="2">
        <f t="shared" si="30"/>
        <v>0</v>
      </c>
      <c r="AY40" s="2">
        <f t="shared" si="31"/>
        <v>0</v>
      </c>
    </row>
    <row r="41" spans="1:51" x14ac:dyDescent="0.2">
      <c r="A41" t="s">
        <v>22</v>
      </c>
      <c r="B41" t="str">
        <f>IF(MRN_8="N/A","No","Yes")</f>
        <v>No</v>
      </c>
      <c r="C41" s="311">
        <f>COUNTIF('Client 8'!P$9:P$19,"Pass")</f>
        <v>0</v>
      </c>
      <c r="D41" s="305" t="e">
        <f t="shared" si="6"/>
        <v>#DIV/0!</v>
      </c>
      <c r="E41">
        <f>COUNTIF('Client 8'!P$9:P$19,"Fail")</f>
        <v>0</v>
      </c>
      <c r="F41" s="312" t="e">
        <f t="shared" si="7"/>
        <v>#DIV/0!</v>
      </c>
      <c r="G41" s="311">
        <f>COUNTIF('Client 8'!P$23:P$26,"Pass")</f>
        <v>0</v>
      </c>
      <c r="H41" s="305" t="e">
        <f t="shared" si="8"/>
        <v>#DIV/0!</v>
      </c>
      <c r="I41" s="311">
        <f>COUNTIF('Client 8'!P$23:P$26,"Fail")</f>
        <v>0</v>
      </c>
      <c r="J41" s="312" t="e">
        <f t="shared" si="9"/>
        <v>#DIV/0!</v>
      </c>
      <c r="K41" s="311">
        <f>COUNTIF('Client 8'!P$30:T$33,"Pass")</f>
        <v>0</v>
      </c>
      <c r="L41" s="305" t="e">
        <f t="shared" si="10"/>
        <v>#DIV/0!</v>
      </c>
      <c r="M41" s="311">
        <f>COUNTIF('Client 8'!P$30:P$33,"Fail")</f>
        <v>0</v>
      </c>
      <c r="N41" s="312" t="e">
        <f t="shared" si="11"/>
        <v>#DIV/0!</v>
      </c>
      <c r="O41" s="311">
        <f>COUNTIF('Client 8'!P$37:P$49,"Pass")</f>
        <v>0</v>
      </c>
      <c r="P41" s="305" t="e">
        <f t="shared" si="12"/>
        <v>#DIV/0!</v>
      </c>
      <c r="Q41" s="311">
        <f>COUNTIF('Client 8'!P$37:P$49,"fail")</f>
        <v>0</v>
      </c>
      <c r="R41" s="312" t="e">
        <f t="shared" si="13"/>
        <v>#DIV/0!</v>
      </c>
      <c r="S41" s="311">
        <f>COUNTIF('Client 8'!P$53:P$60,"pass")</f>
        <v>0</v>
      </c>
      <c r="T41" s="305" t="e">
        <f t="shared" si="14"/>
        <v>#DIV/0!</v>
      </c>
      <c r="U41" s="311">
        <f>COUNTIF('Client 8'!P$53:P$60,"fail")</f>
        <v>0</v>
      </c>
      <c r="V41" s="312" t="e">
        <f t="shared" si="15"/>
        <v>#DIV/0!</v>
      </c>
      <c r="W41" s="311">
        <f>COUNTIF('Client 8'!P$64:P$69,"pass")</f>
        <v>0</v>
      </c>
      <c r="X41" s="305" t="e">
        <f t="shared" si="16"/>
        <v>#DIV/0!</v>
      </c>
      <c r="Y41">
        <f>COUNTIF('Client 8'!P$60:P$66,"fail")</f>
        <v>0</v>
      </c>
      <c r="Z41" s="312" t="e">
        <f t="shared" si="17"/>
        <v>#DIV/0!</v>
      </c>
      <c r="AA41" s="311">
        <f>COUNTIF('Client 8'!P$73:P$82,"pass")</f>
        <v>0</v>
      </c>
      <c r="AB41" s="305" t="e">
        <f t="shared" si="18"/>
        <v>#DIV/0!</v>
      </c>
      <c r="AC41" s="311">
        <f>COUNTIF('Client 8'!P$73:P$82,"fail")</f>
        <v>0</v>
      </c>
      <c r="AD41" s="312" t="e">
        <f t="shared" si="19"/>
        <v>#DIV/0!</v>
      </c>
      <c r="AE41" s="311">
        <f t="shared" si="0"/>
        <v>0</v>
      </c>
      <c r="AF41">
        <f t="shared" si="1"/>
        <v>0</v>
      </c>
      <c r="AG41" s="305" t="e">
        <f t="shared" si="20"/>
        <v>#DIV/0!</v>
      </c>
      <c r="AH41">
        <f t="shared" si="2"/>
        <v>0</v>
      </c>
      <c r="AI41" s="312" t="e">
        <f t="shared" si="21"/>
        <v>#DIV/0!</v>
      </c>
      <c r="AJ41" s="309" t="e">
        <f t="shared" si="22"/>
        <v>#DIV/0!</v>
      </c>
      <c r="AK41" s="330">
        <f>'Client 8'!Y$6</f>
        <v>0</v>
      </c>
      <c r="AL41">
        <f t="shared" ref="AL41:AM41" si="37">COUNTIF(N98,"yes")</f>
        <v>0</v>
      </c>
      <c r="AM41">
        <f t="shared" si="37"/>
        <v>0</v>
      </c>
      <c r="AN41">
        <f t="shared" si="24"/>
        <v>0</v>
      </c>
      <c r="AS41" s="334">
        <f t="shared" si="25"/>
        <v>0</v>
      </c>
      <c r="AT41" s="2">
        <f t="shared" si="26"/>
        <v>0</v>
      </c>
      <c r="AU41" s="2">
        <f t="shared" si="27"/>
        <v>0</v>
      </c>
      <c r="AV41" s="335">
        <f t="shared" si="28"/>
        <v>0</v>
      </c>
      <c r="AW41" s="2">
        <f t="shared" si="29"/>
        <v>0</v>
      </c>
      <c r="AX41" s="2">
        <f t="shared" si="30"/>
        <v>0</v>
      </c>
      <c r="AY41" s="2">
        <f t="shared" si="31"/>
        <v>0</v>
      </c>
    </row>
    <row r="42" spans="1:51" x14ac:dyDescent="0.2">
      <c r="A42" t="s">
        <v>23</v>
      </c>
      <c r="B42" t="str">
        <f>IF(MRN_9="N/A","No","Yes")</f>
        <v>No</v>
      </c>
      <c r="C42" s="311">
        <f>COUNTIF('Client 9'!P$9:P$19,"Pass")</f>
        <v>0</v>
      </c>
      <c r="D42" s="305" t="e">
        <f t="shared" si="6"/>
        <v>#DIV/0!</v>
      </c>
      <c r="E42">
        <f>COUNTIF('Client 9'!P$9:P$19,"Fail")</f>
        <v>0</v>
      </c>
      <c r="F42" s="312" t="e">
        <f t="shared" si="7"/>
        <v>#DIV/0!</v>
      </c>
      <c r="G42" s="311">
        <f>COUNTIF('Client 9'!P$23:P$26,"Pass")</f>
        <v>0</v>
      </c>
      <c r="H42" s="305" t="e">
        <f t="shared" si="8"/>
        <v>#DIV/0!</v>
      </c>
      <c r="I42" s="311">
        <f>COUNTIF('Client 9'!P$23:P$26,"Fail")</f>
        <v>0</v>
      </c>
      <c r="J42" s="312" t="e">
        <f t="shared" si="9"/>
        <v>#DIV/0!</v>
      </c>
      <c r="K42" s="311">
        <f>COUNTIF('Client 9'!P$30:T$33,"Pass")</f>
        <v>0</v>
      </c>
      <c r="L42" s="305" t="e">
        <f t="shared" si="10"/>
        <v>#DIV/0!</v>
      </c>
      <c r="M42" s="311">
        <f>COUNTIF('Client 9'!P$30:P$33,"Fail")</f>
        <v>0</v>
      </c>
      <c r="N42" s="312" t="e">
        <f t="shared" si="11"/>
        <v>#DIV/0!</v>
      </c>
      <c r="O42" s="311">
        <f>COUNTIF('Client 9'!P$37:P$49,"Pass")</f>
        <v>0</v>
      </c>
      <c r="P42" s="305" t="e">
        <f t="shared" si="12"/>
        <v>#DIV/0!</v>
      </c>
      <c r="Q42" s="311">
        <f>COUNTIF('Client 9'!P$37:P$49,"fail")</f>
        <v>0</v>
      </c>
      <c r="R42" s="312" t="e">
        <f t="shared" si="13"/>
        <v>#DIV/0!</v>
      </c>
      <c r="S42" s="311">
        <f>COUNTIF('Client 9'!P$53:P$60,"pass")</f>
        <v>0</v>
      </c>
      <c r="T42" s="305" t="e">
        <f t="shared" si="14"/>
        <v>#DIV/0!</v>
      </c>
      <c r="U42" s="311">
        <f>COUNTIF('Client 9'!P$53:P$60,"fail")</f>
        <v>0</v>
      </c>
      <c r="V42" s="312" t="e">
        <f t="shared" si="15"/>
        <v>#DIV/0!</v>
      </c>
      <c r="W42" s="311">
        <f>COUNTIF('Client 9'!P$64:P$69,"pass")</f>
        <v>0</v>
      </c>
      <c r="X42" s="305" t="e">
        <f t="shared" si="16"/>
        <v>#DIV/0!</v>
      </c>
      <c r="Y42">
        <f>COUNTIF('Client 9'!P$60:P$66,"fail")</f>
        <v>0</v>
      </c>
      <c r="Z42" s="312" t="e">
        <f t="shared" si="17"/>
        <v>#DIV/0!</v>
      </c>
      <c r="AA42" s="311">
        <f>COUNTIF('Client 9'!P$73:P$82,"pass")</f>
        <v>0</v>
      </c>
      <c r="AB42" s="305" t="e">
        <f t="shared" si="18"/>
        <v>#DIV/0!</v>
      </c>
      <c r="AC42" s="311">
        <f>COUNTIF('Client 9'!P$73:P$82,"fail")</f>
        <v>0</v>
      </c>
      <c r="AD42" s="312" t="e">
        <f t="shared" si="19"/>
        <v>#DIV/0!</v>
      </c>
      <c r="AE42" s="311">
        <f t="shared" si="0"/>
        <v>0</v>
      </c>
      <c r="AF42">
        <f t="shared" si="1"/>
        <v>0</v>
      </c>
      <c r="AG42" s="305" t="e">
        <f t="shared" si="20"/>
        <v>#DIV/0!</v>
      </c>
      <c r="AH42">
        <f t="shared" si="2"/>
        <v>0</v>
      </c>
      <c r="AI42" s="312" t="e">
        <f t="shared" si="21"/>
        <v>#DIV/0!</v>
      </c>
      <c r="AJ42" s="309" t="e">
        <f t="shared" si="22"/>
        <v>#DIV/0!</v>
      </c>
      <c r="AK42" s="330">
        <f>'Client 9'!Y$6</f>
        <v>0</v>
      </c>
      <c r="AL42">
        <f t="shared" ref="AL42:AM42" si="38">COUNTIF(N99,"yes")</f>
        <v>0</v>
      </c>
      <c r="AM42">
        <f t="shared" si="38"/>
        <v>0</v>
      </c>
      <c r="AN42">
        <f t="shared" si="24"/>
        <v>0</v>
      </c>
      <c r="AS42" s="334">
        <f t="shared" si="25"/>
        <v>0</v>
      </c>
      <c r="AT42" s="2">
        <f t="shared" si="26"/>
        <v>0</v>
      </c>
      <c r="AU42" s="2">
        <f t="shared" si="27"/>
        <v>0</v>
      </c>
      <c r="AV42" s="335">
        <f t="shared" si="28"/>
        <v>0</v>
      </c>
      <c r="AW42" s="2">
        <f t="shared" si="29"/>
        <v>0</v>
      </c>
      <c r="AX42" s="2">
        <f t="shared" si="30"/>
        <v>0</v>
      </c>
      <c r="AY42" s="2">
        <f t="shared" si="31"/>
        <v>0</v>
      </c>
    </row>
    <row r="43" spans="1:51" x14ac:dyDescent="0.2">
      <c r="A43" s="6" t="s">
        <v>24</v>
      </c>
      <c r="B43" t="str">
        <f>IF(MRN_10="N/A","No","Yes")</f>
        <v>No</v>
      </c>
      <c r="C43" s="311">
        <f>COUNTIF('Client 10'!P$9:P$19,"Pass")</f>
        <v>0</v>
      </c>
      <c r="D43" s="305" t="e">
        <f t="shared" si="6"/>
        <v>#DIV/0!</v>
      </c>
      <c r="E43">
        <f>COUNTIF('Client 10'!P$9:P$19,"Fail")</f>
        <v>0</v>
      </c>
      <c r="F43" s="312" t="e">
        <f t="shared" si="7"/>
        <v>#DIV/0!</v>
      </c>
      <c r="G43" s="311">
        <f>COUNTIF('Client 10'!P$23:P$26,"Pass")</f>
        <v>0</v>
      </c>
      <c r="H43" s="305" t="e">
        <f t="shared" si="8"/>
        <v>#DIV/0!</v>
      </c>
      <c r="I43" s="311">
        <f>COUNTIF('Client 10'!P$23:P$26,"Fail")</f>
        <v>0</v>
      </c>
      <c r="J43" s="312" t="e">
        <f t="shared" si="9"/>
        <v>#DIV/0!</v>
      </c>
      <c r="K43" s="311">
        <f>COUNTIF('Client 10'!P$30:T$33,"Pass")</f>
        <v>0</v>
      </c>
      <c r="L43" s="305" t="e">
        <f t="shared" si="10"/>
        <v>#DIV/0!</v>
      </c>
      <c r="M43" s="311">
        <f>COUNTIF('Client 10'!P$30:P$33,"Fail")</f>
        <v>0</v>
      </c>
      <c r="N43" s="312" t="e">
        <f t="shared" si="11"/>
        <v>#DIV/0!</v>
      </c>
      <c r="O43" s="311">
        <f>COUNTIF('Client 10'!P$37:P$49,"Pass")</f>
        <v>0</v>
      </c>
      <c r="P43" s="305" t="e">
        <f t="shared" si="12"/>
        <v>#DIV/0!</v>
      </c>
      <c r="Q43" s="311">
        <f>COUNTIF('Client 10'!P$37:P$49,"fail")</f>
        <v>0</v>
      </c>
      <c r="R43" s="312" t="e">
        <f t="shared" si="13"/>
        <v>#DIV/0!</v>
      </c>
      <c r="S43" s="311">
        <f>COUNTIF('Client 10'!P$53:P$60,"pass")</f>
        <v>0</v>
      </c>
      <c r="T43" s="305" t="e">
        <f t="shared" si="14"/>
        <v>#DIV/0!</v>
      </c>
      <c r="U43" s="311">
        <f>COUNTIF('Client 10'!P$53:P$60,"fail")</f>
        <v>0</v>
      </c>
      <c r="V43" s="312" t="e">
        <f t="shared" si="15"/>
        <v>#DIV/0!</v>
      </c>
      <c r="W43" s="311">
        <f>COUNTIF('Client 10'!P$64:P$69,"pass")</f>
        <v>0</v>
      </c>
      <c r="X43" s="305" t="e">
        <f t="shared" si="16"/>
        <v>#DIV/0!</v>
      </c>
      <c r="Y43">
        <f>COUNTIF('Client 10'!P$60:P$66,"fail")</f>
        <v>0</v>
      </c>
      <c r="Z43" s="312" t="e">
        <f t="shared" si="17"/>
        <v>#DIV/0!</v>
      </c>
      <c r="AA43" s="311">
        <f>COUNTIF('Client 10'!P$73:P$82,"pass")</f>
        <v>0</v>
      </c>
      <c r="AB43" s="305" t="e">
        <f t="shared" si="18"/>
        <v>#DIV/0!</v>
      </c>
      <c r="AC43" s="311">
        <f>COUNTIF('Client 10'!P$73:P$82,"fail")</f>
        <v>0</v>
      </c>
      <c r="AD43" s="312" t="e">
        <f t="shared" si="19"/>
        <v>#DIV/0!</v>
      </c>
      <c r="AE43" s="311">
        <f t="shared" si="0"/>
        <v>0</v>
      </c>
      <c r="AF43">
        <f t="shared" si="1"/>
        <v>0</v>
      </c>
      <c r="AG43" s="305" t="e">
        <f t="shared" si="20"/>
        <v>#DIV/0!</v>
      </c>
      <c r="AH43">
        <f t="shared" si="2"/>
        <v>0</v>
      </c>
      <c r="AI43" s="312" t="e">
        <f t="shared" si="21"/>
        <v>#DIV/0!</v>
      </c>
      <c r="AJ43" s="309" t="e">
        <f t="shared" si="22"/>
        <v>#DIV/0!</v>
      </c>
      <c r="AK43" s="330">
        <f>'Client 10'!Y$6</f>
        <v>0</v>
      </c>
      <c r="AL43">
        <f t="shared" ref="AL43:AM43" si="39">COUNTIF(N100,"yes")</f>
        <v>0</v>
      </c>
      <c r="AM43">
        <f t="shared" si="39"/>
        <v>0</v>
      </c>
      <c r="AN43">
        <f t="shared" si="24"/>
        <v>0</v>
      </c>
      <c r="AS43" s="334">
        <f t="shared" si="25"/>
        <v>0</v>
      </c>
      <c r="AT43" s="2">
        <f t="shared" si="26"/>
        <v>0</v>
      </c>
      <c r="AU43" s="2">
        <f t="shared" si="27"/>
        <v>0</v>
      </c>
      <c r="AV43" s="335">
        <f t="shared" si="28"/>
        <v>0</v>
      </c>
      <c r="AW43" s="2">
        <f t="shared" si="29"/>
        <v>0</v>
      </c>
      <c r="AX43" s="2">
        <f t="shared" si="30"/>
        <v>0</v>
      </c>
      <c r="AY43" s="2">
        <f t="shared" si="31"/>
        <v>0</v>
      </c>
    </row>
    <row r="44" spans="1:51" x14ac:dyDescent="0.2">
      <c r="A44" t="s">
        <v>25</v>
      </c>
      <c r="B44" t="str">
        <f>IF(MRN_11="N/A","No","Yes")</f>
        <v>No</v>
      </c>
      <c r="C44" s="311">
        <f>COUNTIF('Client 11'!P$9:P$19,"Pass")</f>
        <v>0</v>
      </c>
      <c r="D44" s="305" t="e">
        <f t="shared" si="6"/>
        <v>#DIV/0!</v>
      </c>
      <c r="E44">
        <f>COUNTIF('Client 11'!P$9:P$19,"Fail")</f>
        <v>0</v>
      </c>
      <c r="F44" s="312" t="e">
        <f t="shared" si="7"/>
        <v>#DIV/0!</v>
      </c>
      <c r="G44" s="311">
        <f>COUNTIF('Client 11'!P$23:P$26,"Pass")</f>
        <v>0</v>
      </c>
      <c r="H44" s="305" t="e">
        <f t="shared" si="8"/>
        <v>#DIV/0!</v>
      </c>
      <c r="I44" s="311">
        <f>COUNTIF('Client 11'!P$23:P$26,"Fail")</f>
        <v>0</v>
      </c>
      <c r="J44" s="312" t="e">
        <f t="shared" si="9"/>
        <v>#DIV/0!</v>
      </c>
      <c r="K44" s="311">
        <f>COUNTIF('Client 11'!P$30:T$33,"Pass")</f>
        <v>0</v>
      </c>
      <c r="L44" s="305" t="e">
        <f t="shared" si="10"/>
        <v>#DIV/0!</v>
      </c>
      <c r="M44" s="311">
        <f>COUNTIF('Client 11'!P$30:P$33,"Fail")</f>
        <v>0</v>
      </c>
      <c r="N44" s="312" t="e">
        <f t="shared" si="11"/>
        <v>#DIV/0!</v>
      </c>
      <c r="O44" s="311">
        <f>COUNTIF('Client 11'!P$37:P$49,"Pass")</f>
        <v>0</v>
      </c>
      <c r="P44" s="305" t="e">
        <f t="shared" si="12"/>
        <v>#DIV/0!</v>
      </c>
      <c r="Q44" s="311">
        <f>COUNTIF('Client 11'!P$37:P$49,"fail")</f>
        <v>0</v>
      </c>
      <c r="R44" s="312" t="e">
        <f t="shared" si="13"/>
        <v>#DIV/0!</v>
      </c>
      <c r="S44" s="311">
        <f>COUNTIF('Client 11'!P$53:P$60,"pass")</f>
        <v>0</v>
      </c>
      <c r="T44" s="305" t="e">
        <f t="shared" si="14"/>
        <v>#DIV/0!</v>
      </c>
      <c r="U44" s="311">
        <f>COUNTIF('Client 11'!P$53:P$60,"fail")</f>
        <v>0</v>
      </c>
      <c r="V44" s="312" t="e">
        <f t="shared" si="15"/>
        <v>#DIV/0!</v>
      </c>
      <c r="W44" s="311">
        <f>COUNTIF('Client 11'!P$64:P$69,"pass")</f>
        <v>0</v>
      </c>
      <c r="X44" s="305" t="e">
        <f t="shared" si="16"/>
        <v>#DIV/0!</v>
      </c>
      <c r="Y44">
        <f>COUNTIF('Client 11'!P$60:P$66,"fail")</f>
        <v>0</v>
      </c>
      <c r="Z44" s="312" t="e">
        <f t="shared" si="17"/>
        <v>#DIV/0!</v>
      </c>
      <c r="AA44" s="311">
        <f>COUNTIF('Client 11'!P$73:P$82,"pass")</f>
        <v>0</v>
      </c>
      <c r="AB44" s="305" t="e">
        <f t="shared" si="18"/>
        <v>#DIV/0!</v>
      </c>
      <c r="AC44" s="311">
        <f>COUNTIF('Client 11'!P$73:P$82,"fail")</f>
        <v>0</v>
      </c>
      <c r="AD44" s="312" t="e">
        <f t="shared" si="19"/>
        <v>#DIV/0!</v>
      </c>
      <c r="AE44" s="311">
        <f t="shared" si="0"/>
        <v>0</v>
      </c>
      <c r="AF44">
        <f t="shared" si="1"/>
        <v>0</v>
      </c>
      <c r="AG44" s="305" t="e">
        <f t="shared" si="20"/>
        <v>#DIV/0!</v>
      </c>
      <c r="AH44">
        <f t="shared" si="2"/>
        <v>0</v>
      </c>
      <c r="AI44" s="312" t="e">
        <f t="shared" si="21"/>
        <v>#DIV/0!</v>
      </c>
      <c r="AJ44" s="309" t="e">
        <f t="shared" si="22"/>
        <v>#DIV/0!</v>
      </c>
      <c r="AK44" s="330">
        <f>'Client 11'!Y$6</f>
        <v>0</v>
      </c>
      <c r="AL44">
        <f t="shared" ref="AL44:AM44" si="40">COUNTIF(N101,"yes")</f>
        <v>0</v>
      </c>
      <c r="AM44">
        <f t="shared" si="40"/>
        <v>0</v>
      </c>
      <c r="AN44">
        <f t="shared" si="24"/>
        <v>0</v>
      </c>
      <c r="AS44" s="334">
        <f t="shared" si="25"/>
        <v>0</v>
      </c>
      <c r="AT44" s="2">
        <f t="shared" si="26"/>
        <v>0</v>
      </c>
      <c r="AU44" s="2">
        <f t="shared" si="27"/>
        <v>0</v>
      </c>
      <c r="AV44" s="335">
        <f t="shared" si="28"/>
        <v>0</v>
      </c>
      <c r="AW44" s="2">
        <f t="shared" si="29"/>
        <v>0</v>
      </c>
      <c r="AX44" s="2">
        <f t="shared" si="30"/>
        <v>0</v>
      </c>
      <c r="AY44" s="2">
        <f t="shared" si="31"/>
        <v>0</v>
      </c>
    </row>
    <row r="45" spans="1:51" x14ac:dyDescent="0.2">
      <c r="A45" t="s">
        <v>26</v>
      </c>
      <c r="B45" t="str">
        <f>IF(MRN_12="N/A","No","Yes")</f>
        <v>No</v>
      </c>
      <c r="C45" s="311">
        <f>COUNTIF('Client 12'!P$9:P$19,"Pass")</f>
        <v>0</v>
      </c>
      <c r="D45" s="305" t="e">
        <f t="shared" si="6"/>
        <v>#DIV/0!</v>
      </c>
      <c r="E45">
        <f>COUNTIF('Client 12'!P$9:P$19,"Fail")</f>
        <v>0</v>
      </c>
      <c r="F45" s="312" t="e">
        <f t="shared" si="7"/>
        <v>#DIV/0!</v>
      </c>
      <c r="G45" s="311">
        <f>COUNTIF('Client 12'!P$23:P$26,"Pass")</f>
        <v>0</v>
      </c>
      <c r="H45" s="305" t="e">
        <f t="shared" si="8"/>
        <v>#DIV/0!</v>
      </c>
      <c r="I45" s="311">
        <f>COUNTIF('Client 12'!P$23:P$26,"Fail")</f>
        <v>0</v>
      </c>
      <c r="J45" s="312" t="e">
        <f t="shared" si="9"/>
        <v>#DIV/0!</v>
      </c>
      <c r="K45" s="311">
        <f>COUNTIF('Client 12'!P$30:T$33,"Pass")</f>
        <v>0</v>
      </c>
      <c r="L45" s="305" t="e">
        <f t="shared" si="10"/>
        <v>#DIV/0!</v>
      </c>
      <c r="M45" s="311">
        <f>COUNTIF('Client 12'!P$30:P$33,"Fail")</f>
        <v>0</v>
      </c>
      <c r="N45" s="312" t="e">
        <f t="shared" si="11"/>
        <v>#DIV/0!</v>
      </c>
      <c r="O45" s="311">
        <f>COUNTIF('Client 12'!P$37:P$49,"Pass")</f>
        <v>0</v>
      </c>
      <c r="P45" s="305" t="e">
        <f t="shared" si="12"/>
        <v>#DIV/0!</v>
      </c>
      <c r="Q45" s="311">
        <f>COUNTIF('Client 12'!P$37:P$49,"fail")</f>
        <v>0</v>
      </c>
      <c r="R45" s="312" t="e">
        <f t="shared" si="13"/>
        <v>#DIV/0!</v>
      </c>
      <c r="S45" s="311">
        <f>COUNTIF('Client 12'!P$53:P$60,"pass")</f>
        <v>0</v>
      </c>
      <c r="T45" s="305" t="e">
        <f t="shared" si="14"/>
        <v>#DIV/0!</v>
      </c>
      <c r="U45" s="311">
        <f>COUNTIF('Client 12'!P$53:P$60,"fail")</f>
        <v>0</v>
      </c>
      <c r="V45" s="312" t="e">
        <f t="shared" si="15"/>
        <v>#DIV/0!</v>
      </c>
      <c r="W45" s="311">
        <f>COUNTIF('Client 12'!P$64:P$69,"pass")</f>
        <v>0</v>
      </c>
      <c r="X45" s="305" t="e">
        <f t="shared" si="16"/>
        <v>#DIV/0!</v>
      </c>
      <c r="Y45">
        <f>COUNTIF('Client 12'!P$60:P$66,"fail")</f>
        <v>0</v>
      </c>
      <c r="Z45" s="312" t="e">
        <f t="shared" si="17"/>
        <v>#DIV/0!</v>
      </c>
      <c r="AA45" s="311">
        <f>COUNTIF('Client 12'!P$73:P$82,"pass")</f>
        <v>0</v>
      </c>
      <c r="AB45" s="305" t="e">
        <f t="shared" si="18"/>
        <v>#DIV/0!</v>
      </c>
      <c r="AC45" s="311">
        <f>COUNTIF('Client 12'!P$73:P$82,"fail")</f>
        <v>0</v>
      </c>
      <c r="AD45" s="312" t="e">
        <f t="shared" si="19"/>
        <v>#DIV/0!</v>
      </c>
      <c r="AE45" s="311">
        <f t="shared" si="0"/>
        <v>0</v>
      </c>
      <c r="AF45">
        <f t="shared" si="1"/>
        <v>0</v>
      </c>
      <c r="AG45" s="305" t="e">
        <f t="shared" si="20"/>
        <v>#DIV/0!</v>
      </c>
      <c r="AH45">
        <f t="shared" si="2"/>
        <v>0</v>
      </c>
      <c r="AI45" s="312" t="e">
        <f t="shared" si="21"/>
        <v>#DIV/0!</v>
      </c>
      <c r="AJ45" s="309" t="e">
        <f t="shared" si="22"/>
        <v>#DIV/0!</v>
      </c>
      <c r="AK45" s="330">
        <f>'Client 12'!Y$6</f>
        <v>0</v>
      </c>
      <c r="AL45">
        <f t="shared" ref="AL45:AM45" si="41">COUNTIF(N102,"yes")</f>
        <v>0</v>
      </c>
      <c r="AM45">
        <f t="shared" si="41"/>
        <v>0</v>
      </c>
      <c r="AN45">
        <f t="shared" si="24"/>
        <v>0</v>
      </c>
      <c r="AS45" s="334">
        <f t="shared" si="25"/>
        <v>0</v>
      </c>
      <c r="AT45" s="2">
        <f t="shared" si="26"/>
        <v>0</v>
      </c>
      <c r="AU45" s="2">
        <f t="shared" si="27"/>
        <v>0</v>
      </c>
      <c r="AV45" s="335">
        <f t="shared" si="28"/>
        <v>0</v>
      </c>
      <c r="AW45" s="2">
        <f t="shared" si="29"/>
        <v>0</v>
      </c>
      <c r="AX45" s="2">
        <f t="shared" si="30"/>
        <v>0</v>
      </c>
      <c r="AY45" s="2">
        <f t="shared" si="31"/>
        <v>0</v>
      </c>
    </row>
    <row r="46" spans="1:51" x14ac:dyDescent="0.2">
      <c r="A46" t="s">
        <v>27</v>
      </c>
      <c r="B46" t="str">
        <f>IF(MRN_13="N/A","No","Yes")</f>
        <v>No</v>
      </c>
      <c r="C46" s="311">
        <f>COUNTIF('Client 13'!P$9:P$19,"Pass")</f>
        <v>0</v>
      </c>
      <c r="D46" s="305" t="e">
        <f t="shared" si="6"/>
        <v>#DIV/0!</v>
      </c>
      <c r="E46">
        <f>COUNTIF('Client 13'!P$9:P$19,"Fail")</f>
        <v>0</v>
      </c>
      <c r="F46" s="312" t="e">
        <f t="shared" si="7"/>
        <v>#DIV/0!</v>
      </c>
      <c r="G46" s="311">
        <f>COUNTIF('Client 13'!P$23:P$26,"Pass")</f>
        <v>0</v>
      </c>
      <c r="H46" s="305" t="e">
        <f t="shared" si="8"/>
        <v>#DIV/0!</v>
      </c>
      <c r="I46" s="311">
        <f>COUNTIF('Client 13'!P$23:P$26,"Fail")</f>
        <v>0</v>
      </c>
      <c r="J46" s="312" t="e">
        <f t="shared" si="9"/>
        <v>#DIV/0!</v>
      </c>
      <c r="K46" s="311">
        <f>COUNTIF('Client 13'!P$30:T$33,"Pass")</f>
        <v>0</v>
      </c>
      <c r="L46" s="305" t="e">
        <f t="shared" si="10"/>
        <v>#DIV/0!</v>
      </c>
      <c r="M46" s="311">
        <f>COUNTIF('Client 13'!P$30:P$33,"Fail")</f>
        <v>0</v>
      </c>
      <c r="N46" s="312" t="e">
        <f t="shared" si="11"/>
        <v>#DIV/0!</v>
      </c>
      <c r="O46" s="311">
        <f>COUNTIF('Client 13'!P$37:P$49,"Pass")</f>
        <v>0</v>
      </c>
      <c r="P46" s="305" t="e">
        <f t="shared" si="12"/>
        <v>#DIV/0!</v>
      </c>
      <c r="Q46" s="311">
        <f>COUNTIF('Client 13'!P$37:P$49,"fail")</f>
        <v>0</v>
      </c>
      <c r="R46" s="312" t="e">
        <f t="shared" si="13"/>
        <v>#DIV/0!</v>
      </c>
      <c r="S46" s="311">
        <f>COUNTIF('Client 13'!P$53:P$60,"pass")</f>
        <v>0</v>
      </c>
      <c r="T46" s="305" t="e">
        <f t="shared" si="14"/>
        <v>#DIV/0!</v>
      </c>
      <c r="U46" s="311">
        <f>COUNTIF('Client 13'!P$53:P$60,"fail")</f>
        <v>0</v>
      </c>
      <c r="V46" s="312" t="e">
        <f t="shared" si="15"/>
        <v>#DIV/0!</v>
      </c>
      <c r="W46" s="311">
        <f>COUNTIF('Client 13'!P$64:P$69,"pass")</f>
        <v>0</v>
      </c>
      <c r="X46" s="305" t="e">
        <f t="shared" si="16"/>
        <v>#DIV/0!</v>
      </c>
      <c r="Y46">
        <f>COUNTIF('Client 13'!P$60:P$66,"fail")</f>
        <v>0</v>
      </c>
      <c r="Z46" s="312" t="e">
        <f t="shared" si="17"/>
        <v>#DIV/0!</v>
      </c>
      <c r="AA46" s="311">
        <f>COUNTIF('Client 13'!P$73:P$82,"pass")</f>
        <v>0</v>
      </c>
      <c r="AB46" s="305" t="e">
        <f t="shared" si="18"/>
        <v>#DIV/0!</v>
      </c>
      <c r="AC46" s="311">
        <f>COUNTIF('Client 13'!P$73:P$82,"fail")</f>
        <v>0</v>
      </c>
      <c r="AD46" s="312" t="e">
        <f t="shared" si="19"/>
        <v>#DIV/0!</v>
      </c>
      <c r="AE46" s="311">
        <f t="shared" si="0"/>
        <v>0</v>
      </c>
      <c r="AF46">
        <f t="shared" si="1"/>
        <v>0</v>
      </c>
      <c r="AG46" s="305" t="e">
        <f t="shared" si="20"/>
        <v>#DIV/0!</v>
      </c>
      <c r="AH46">
        <f t="shared" si="2"/>
        <v>0</v>
      </c>
      <c r="AI46" s="312" t="e">
        <f t="shared" si="21"/>
        <v>#DIV/0!</v>
      </c>
      <c r="AJ46" s="309" t="e">
        <f t="shared" si="22"/>
        <v>#DIV/0!</v>
      </c>
      <c r="AK46" s="330">
        <f>'Client 13'!Y$6</f>
        <v>0</v>
      </c>
      <c r="AL46">
        <f t="shared" ref="AL46:AM46" si="42">COUNTIF(N103,"yes")</f>
        <v>0</v>
      </c>
      <c r="AM46">
        <f t="shared" si="42"/>
        <v>0</v>
      </c>
      <c r="AN46">
        <f t="shared" si="24"/>
        <v>0</v>
      </c>
      <c r="AS46" s="334">
        <f t="shared" si="25"/>
        <v>0</v>
      </c>
      <c r="AT46" s="2">
        <f t="shared" si="26"/>
        <v>0</v>
      </c>
      <c r="AU46" s="2">
        <f t="shared" si="27"/>
        <v>0</v>
      </c>
      <c r="AV46" s="335">
        <f t="shared" si="28"/>
        <v>0</v>
      </c>
      <c r="AW46" s="2">
        <f t="shared" si="29"/>
        <v>0</v>
      </c>
      <c r="AX46" s="2">
        <f t="shared" si="30"/>
        <v>0</v>
      </c>
      <c r="AY46" s="2">
        <f t="shared" si="31"/>
        <v>0</v>
      </c>
    </row>
    <row r="47" spans="1:51" x14ac:dyDescent="0.2">
      <c r="A47" t="s">
        <v>28</v>
      </c>
      <c r="B47" t="str">
        <f>IF(MRN_14="N/A","No","Yes")</f>
        <v>No</v>
      </c>
      <c r="C47" s="311">
        <f>COUNTIF('Client 14'!P$9:P$19,"Pass")</f>
        <v>0</v>
      </c>
      <c r="D47" s="305" t="e">
        <f t="shared" si="6"/>
        <v>#DIV/0!</v>
      </c>
      <c r="E47">
        <f>COUNTIF('Client 14'!P$9:P$19,"Fail")</f>
        <v>0</v>
      </c>
      <c r="F47" s="312" t="e">
        <f t="shared" si="7"/>
        <v>#DIV/0!</v>
      </c>
      <c r="G47" s="311">
        <f>COUNTIF('Client 14'!P$23:P$26,"Pass")</f>
        <v>0</v>
      </c>
      <c r="H47" s="305" t="e">
        <f t="shared" si="8"/>
        <v>#DIV/0!</v>
      </c>
      <c r="I47" s="311">
        <f>COUNTIF('Client 14'!P$23:P$26,"Fail")</f>
        <v>0</v>
      </c>
      <c r="J47" s="312" t="e">
        <f t="shared" si="9"/>
        <v>#DIV/0!</v>
      </c>
      <c r="K47" s="311">
        <f>COUNTIF('Client 14'!P$30:T$33,"Pass")</f>
        <v>0</v>
      </c>
      <c r="L47" s="305" t="e">
        <f t="shared" si="10"/>
        <v>#DIV/0!</v>
      </c>
      <c r="M47" s="311">
        <f>COUNTIF('Client 14'!P$30:P$33,"Fail")</f>
        <v>0</v>
      </c>
      <c r="N47" s="312" t="e">
        <f t="shared" si="11"/>
        <v>#DIV/0!</v>
      </c>
      <c r="O47" s="311">
        <f>COUNTIF('Client 14'!P$37:P$49,"Pass")</f>
        <v>0</v>
      </c>
      <c r="P47" s="305" t="e">
        <f t="shared" si="12"/>
        <v>#DIV/0!</v>
      </c>
      <c r="Q47" s="311">
        <f>COUNTIF('Client 14'!P$37:P$49,"fail")</f>
        <v>0</v>
      </c>
      <c r="R47" s="312" t="e">
        <f t="shared" si="13"/>
        <v>#DIV/0!</v>
      </c>
      <c r="S47" s="311">
        <f>COUNTIF('Client 14'!P$53:P$60,"pass")</f>
        <v>0</v>
      </c>
      <c r="T47" s="305" t="e">
        <f t="shared" si="14"/>
        <v>#DIV/0!</v>
      </c>
      <c r="U47" s="311">
        <f>COUNTIF('Client 14'!P$53:P$60,"fail")</f>
        <v>0</v>
      </c>
      <c r="V47" s="312" t="e">
        <f t="shared" si="15"/>
        <v>#DIV/0!</v>
      </c>
      <c r="W47" s="311">
        <f>COUNTIF('Client 14'!P$64:P$69,"pass")</f>
        <v>0</v>
      </c>
      <c r="X47" s="305" t="e">
        <f t="shared" si="16"/>
        <v>#DIV/0!</v>
      </c>
      <c r="Y47">
        <f>COUNTIF('Client 14'!P$60:P$66,"fail")</f>
        <v>0</v>
      </c>
      <c r="Z47" s="312" t="e">
        <f t="shared" si="17"/>
        <v>#DIV/0!</v>
      </c>
      <c r="AA47" s="311">
        <f>COUNTIF('Client 14'!P$73:P$82,"pass")</f>
        <v>0</v>
      </c>
      <c r="AB47" s="305" t="e">
        <f t="shared" si="18"/>
        <v>#DIV/0!</v>
      </c>
      <c r="AC47" s="311">
        <f>COUNTIF('Client 14'!P$73:P$82,"fail")</f>
        <v>0</v>
      </c>
      <c r="AD47" s="312" t="e">
        <f t="shared" si="19"/>
        <v>#DIV/0!</v>
      </c>
      <c r="AE47" s="311">
        <f t="shared" si="0"/>
        <v>0</v>
      </c>
      <c r="AF47">
        <f t="shared" si="1"/>
        <v>0</v>
      </c>
      <c r="AG47" s="305" t="e">
        <f t="shared" si="20"/>
        <v>#DIV/0!</v>
      </c>
      <c r="AH47">
        <f t="shared" si="2"/>
        <v>0</v>
      </c>
      <c r="AI47" s="312" t="e">
        <f t="shared" si="21"/>
        <v>#DIV/0!</v>
      </c>
      <c r="AJ47" s="309" t="e">
        <f t="shared" si="22"/>
        <v>#DIV/0!</v>
      </c>
      <c r="AK47" s="330">
        <f>'Client 14'!Y$6</f>
        <v>0</v>
      </c>
      <c r="AL47">
        <f t="shared" ref="AL47:AM47" si="43">COUNTIF(N104,"yes")</f>
        <v>0</v>
      </c>
      <c r="AM47">
        <f t="shared" si="43"/>
        <v>0</v>
      </c>
      <c r="AN47">
        <f t="shared" si="24"/>
        <v>0</v>
      </c>
      <c r="AS47" s="334">
        <f t="shared" si="25"/>
        <v>0</v>
      </c>
      <c r="AT47" s="2">
        <f t="shared" si="26"/>
        <v>0</v>
      </c>
      <c r="AU47" s="2">
        <f t="shared" si="27"/>
        <v>0</v>
      </c>
      <c r="AV47" s="335">
        <f t="shared" si="28"/>
        <v>0</v>
      </c>
      <c r="AW47" s="2">
        <f t="shared" si="29"/>
        <v>0</v>
      </c>
      <c r="AX47" s="2">
        <f t="shared" si="30"/>
        <v>0</v>
      </c>
      <c r="AY47" s="2">
        <f t="shared" si="31"/>
        <v>0</v>
      </c>
    </row>
    <row r="48" spans="1:51" x14ac:dyDescent="0.2">
      <c r="A48" t="s">
        <v>29</v>
      </c>
      <c r="B48" t="str">
        <f>IF(MRN_15="N/A","No","Yes")</f>
        <v>No</v>
      </c>
      <c r="C48" s="311">
        <f>COUNTIF('Client 15'!P$9:P$19,"Pass")</f>
        <v>0</v>
      </c>
      <c r="D48" s="305" t="e">
        <f t="shared" si="6"/>
        <v>#DIV/0!</v>
      </c>
      <c r="E48">
        <f>COUNTIF('Client 15'!P$9:P$19,"Fail")</f>
        <v>0</v>
      </c>
      <c r="F48" s="312" t="e">
        <f t="shared" si="7"/>
        <v>#DIV/0!</v>
      </c>
      <c r="G48" s="311">
        <f>COUNTIF('Client 15'!P$23:P$26,"Pass")</f>
        <v>0</v>
      </c>
      <c r="H48" s="305" t="e">
        <f t="shared" si="8"/>
        <v>#DIV/0!</v>
      </c>
      <c r="I48" s="311">
        <f>COUNTIF('Client 15'!P$23:P$26,"Fail")</f>
        <v>0</v>
      </c>
      <c r="J48" s="312" t="e">
        <f t="shared" si="9"/>
        <v>#DIV/0!</v>
      </c>
      <c r="K48" s="311">
        <f>COUNTIF('Client 15'!P$30:T$33,"Pass")</f>
        <v>0</v>
      </c>
      <c r="L48" s="305" t="e">
        <f t="shared" si="10"/>
        <v>#DIV/0!</v>
      </c>
      <c r="M48" s="311">
        <f>COUNTIF('Client 15'!P$30:P$33,"Fail")</f>
        <v>0</v>
      </c>
      <c r="N48" s="312" t="e">
        <f t="shared" si="11"/>
        <v>#DIV/0!</v>
      </c>
      <c r="O48" s="311">
        <f>COUNTIF('Client 15'!P$37:P$49,"Pass")</f>
        <v>0</v>
      </c>
      <c r="P48" s="305" t="e">
        <f t="shared" si="12"/>
        <v>#DIV/0!</v>
      </c>
      <c r="Q48" s="311">
        <f>COUNTIF('Client 15'!P$37:P$49,"fail")</f>
        <v>0</v>
      </c>
      <c r="R48" s="312" t="e">
        <f t="shared" si="13"/>
        <v>#DIV/0!</v>
      </c>
      <c r="S48" s="311">
        <f>COUNTIF('Client 15'!P$53:P$60,"pass")</f>
        <v>0</v>
      </c>
      <c r="T48" s="305" t="e">
        <f t="shared" si="14"/>
        <v>#DIV/0!</v>
      </c>
      <c r="U48" s="311">
        <f>COUNTIF('Client 15'!P$53:P$60,"fail")</f>
        <v>0</v>
      </c>
      <c r="V48" s="312" t="e">
        <f t="shared" si="15"/>
        <v>#DIV/0!</v>
      </c>
      <c r="W48" s="311">
        <f>COUNTIF('Client 15'!P$64:P$69,"pass")</f>
        <v>0</v>
      </c>
      <c r="X48" s="305" t="e">
        <f t="shared" si="16"/>
        <v>#DIV/0!</v>
      </c>
      <c r="Y48">
        <f>COUNTIF('Client 15'!P$60:P$66,"fail")</f>
        <v>0</v>
      </c>
      <c r="Z48" s="312" t="e">
        <f t="shared" si="17"/>
        <v>#DIV/0!</v>
      </c>
      <c r="AA48" s="311">
        <f>COUNTIF('Client 15'!P$73:P$82,"pass")</f>
        <v>0</v>
      </c>
      <c r="AB48" s="305" t="e">
        <f t="shared" si="18"/>
        <v>#DIV/0!</v>
      </c>
      <c r="AC48" s="311">
        <f>COUNTIF('Client 15'!P$73:P$82,"fail")</f>
        <v>0</v>
      </c>
      <c r="AD48" s="312" t="e">
        <f t="shared" si="19"/>
        <v>#DIV/0!</v>
      </c>
      <c r="AE48" s="311">
        <f t="shared" si="0"/>
        <v>0</v>
      </c>
      <c r="AF48">
        <f t="shared" si="1"/>
        <v>0</v>
      </c>
      <c r="AG48" s="305" t="e">
        <f t="shared" si="20"/>
        <v>#DIV/0!</v>
      </c>
      <c r="AH48">
        <f t="shared" si="2"/>
        <v>0</v>
      </c>
      <c r="AI48" s="312" t="e">
        <f t="shared" si="21"/>
        <v>#DIV/0!</v>
      </c>
      <c r="AJ48" s="309" t="e">
        <f t="shared" si="22"/>
        <v>#DIV/0!</v>
      </c>
      <c r="AK48" s="330">
        <f>'Client 15'!Y$6</f>
        <v>0</v>
      </c>
      <c r="AL48">
        <f t="shared" ref="AL48:AM48" si="44">COUNTIF(N105,"yes")</f>
        <v>0</v>
      </c>
      <c r="AM48">
        <f t="shared" si="44"/>
        <v>0</v>
      </c>
      <c r="AN48">
        <f t="shared" si="24"/>
        <v>0</v>
      </c>
      <c r="AS48" s="334">
        <f t="shared" si="25"/>
        <v>0</v>
      </c>
      <c r="AT48" s="2">
        <f t="shared" si="26"/>
        <v>0</v>
      </c>
      <c r="AU48" s="2">
        <f t="shared" si="27"/>
        <v>0</v>
      </c>
      <c r="AV48" s="335">
        <f t="shared" si="28"/>
        <v>0</v>
      </c>
      <c r="AW48" s="2">
        <f t="shared" si="29"/>
        <v>0</v>
      </c>
      <c r="AX48" s="2">
        <f t="shared" si="30"/>
        <v>0</v>
      </c>
      <c r="AY48" s="2">
        <f t="shared" si="31"/>
        <v>0</v>
      </c>
    </row>
    <row r="49" spans="1:51" x14ac:dyDescent="0.2">
      <c r="A49" t="s">
        <v>30</v>
      </c>
      <c r="B49" t="str">
        <f>IF(MRN_16="N/A","No","Yes")</f>
        <v>No</v>
      </c>
      <c r="C49" s="311">
        <f>COUNTIF('Client 16'!P$9:P$19,"Pass")</f>
        <v>0</v>
      </c>
      <c r="D49" s="305" t="e">
        <f t="shared" si="6"/>
        <v>#DIV/0!</v>
      </c>
      <c r="E49">
        <f>COUNTIF('Client 16'!P$9:P$19,"Fail")</f>
        <v>0</v>
      </c>
      <c r="F49" s="312" t="e">
        <f t="shared" si="7"/>
        <v>#DIV/0!</v>
      </c>
      <c r="G49" s="311">
        <f>COUNTIF('Client 16'!P$23:P$26,"Pass")</f>
        <v>0</v>
      </c>
      <c r="H49" s="305" t="e">
        <f t="shared" si="8"/>
        <v>#DIV/0!</v>
      </c>
      <c r="I49" s="311">
        <f>COUNTIF('Client 16'!P$23:P$26,"Fail")</f>
        <v>0</v>
      </c>
      <c r="J49" s="312" t="e">
        <f t="shared" si="9"/>
        <v>#DIV/0!</v>
      </c>
      <c r="K49" s="311">
        <f>COUNTIF('Client 16'!P$30:T$33,"Pass")</f>
        <v>0</v>
      </c>
      <c r="L49" s="305" t="e">
        <f t="shared" si="10"/>
        <v>#DIV/0!</v>
      </c>
      <c r="M49" s="311">
        <f>COUNTIF('Client 16'!P$30:P$33,"Fail")</f>
        <v>0</v>
      </c>
      <c r="N49" s="312" t="e">
        <f t="shared" si="11"/>
        <v>#DIV/0!</v>
      </c>
      <c r="O49" s="311">
        <f>COUNTIF('Client 16'!P$37:P$49,"Pass")</f>
        <v>0</v>
      </c>
      <c r="P49" s="305" t="e">
        <f t="shared" si="12"/>
        <v>#DIV/0!</v>
      </c>
      <c r="Q49" s="311">
        <f>COUNTIF('Client 16'!P$37:P$49,"fail")</f>
        <v>0</v>
      </c>
      <c r="R49" s="312" t="e">
        <f t="shared" si="13"/>
        <v>#DIV/0!</v>
      </c>
      <c r="S49" s="311">
        <f>COUNTIF('Client 16'!P$53:P$60,"pass")</f>
        <v>0</v>
      </c>
      <c r="T49" s="305" t="e">
        <f t="shared" si="14"/>
        <v>#DIV/0!</v>
      </c>
      <c r="U49" s="311">
        <f>COUNTIF('Client 16'!P$53:P$60,"fail")</f>
        <v>0</v>
      </c>
      <c r="V49" s="312" t="e">
        <f t="shared" si="15"/>
        <v>#DIV/0!</v>
      </c>
      <c r="W49" s="311">
        <f>COUNTIF('Client 16'!P$64:P$69,"pass")</f>
        <v>0</v>
      </c>
      <c r="X49" s="305" t="e">
        <f t="shared" si="16"/>
        <v>#DIV/0!</v>
      </c>
      <c r="Y49">
        <f>COUNTIF('Client 16'!P$60:P$66,"fail")</f>
        <v>0</v>
      </c>
      <c r="Z49" s="312" t="e">
        <f t="shared" si="17"/>
        <v>#DIV/0!</v>
      </c>
      <c r="AA49" s="311">
        <f>COUNTIF('Client 16'!P$73:P$82,"pass")</f>
        <v>0</v>
      </c>
      <c r="AB49" s="305" t="e">
        <f t="shared" si="18"/>
        <v>#DIV/0!</v>
      </c>
      <c r="AC49" s="311">
        <f>COUNTIF('Client 16'!P$73:P$82,"fail")</f>
        <v>0</v>
      </c>
      <c r="AD49" s="312" t="e">
        <f t="shared" si="19"/>
        <v>#DIV/0!</v>
      </c>
      <c r="AE49" s="311">
        <f t="shared" si="0"/>
        <v>0</v>
      </c>
      <c r="AF49">
        <f t="shared" si="1"/>
        <v>0</v>
      </c>
      <c r="AG49" s="305" t="e">
        <f t="shared" si="20"/>
        <v>#DIV/0!</v>
      </c>
      <c r="AH49">
        <f t="shared" si="2"/>
        <v>0</v>
      </c>
      <c r="AI49" s="312" t="e">
        <f t="shared" si="21"/>
        <v>#DIV/0!</v>
      </c>
      <c r="AJ49" s="309" t="e">
        <f t="shared" si="22"/>
        <v>#DIV/0!</v>
      </c>
      <c r="AK49" s="330">
        <f>'Client 16'!Y$6</f>
        <v>0</v>
      </c>
      <c r="AL49">
        <f t="shared" ref="AL49:AM49" si="45">COUNTIF(N106,"yes")</f>
        <v>0</v>
      </c>
      <c r="AM49">
        <f t="shared" si="45"/>
        <v>0</v>
      </c>
      <c r="AN49">
        <f t="shared" si="24"/>
        <v>0</v>
      </c>
      <c r="AS49" s="334">
        <f t="shared" si="25"/>
        <v>0</v>
      </c>
      <c r="AT49" s="2">
        <f t="shared" si="26"/>
        <v>0</v>
      </c>
      <c r="AU49" s="2">
        <f t="shared" si="27"/>
        <v>0</v>
      </c>
      <c r="AV49" s="335">
        <f t="shared" si="28"/>
        <v>0</v>
      </c>
      <c r="AW49" s="2">
        <f t="shared" si="29"/>
        <v>0</v>
      </c>
      <c r="AX49" s="2">
        <f t="shared" si="30"/>
        <v>0</v>
      </c>
      <c r="AY49" s="2">
        <f t="shared" si="31"/>
        <v>0</v>
      </c>
    </row>
    <row r="50" spans="1:51" x14ac:dyDescent="0.2">
      <c r="A50" t="s">
        <v>31</v>
      </c>
      <c r="B50" t="str">
        <f>IF(MRN_17="N/A","No","Yes")</f>
        <v>No</v>
      </c>
      <c r="C50" s="311">
        <f>COUNTIF('Client 17'!P$9:P$19,"Pass")</f>
        <v>0</v>
      </c>
      <c r="D50" s="305" t="e">
        <f t="shared" si="6"/>
        <v>#DIV/0!</v>
      </c>
      <c r="E50">
        <f>COUNTIF('Client 17'!P$9:P$19,"Fail")</f>
        <v>0</v>
      </c>
      <c r="F50" s="312" t="e">
        <f t="shared" si="7"/>
        <v>#DIV/0!</v>
      </c>
      <c r="G50" s="311">
        <f>COUNTIF('Client 17'!P$23:P$26,"Pass")</f>
        <v>0</v>
      </c>
      <c r="H50" s="305" t="e">
        <f t="shared" si="8"/>
        <v>#DIV/0!</v>
      </c>
      <c r="I50" s="311">
        <f>COUNTIF('Client 17'!P$23:P$26,"Fail")</f>
        <v>0</v>
      </c>
      <c r="J50" s="312" t="e">
        <f t="shared" si="9"/>
        <v>#DIV/0!</v>
      </c>
      <c r="K50" s="311">
        <f>COUNTIF('Client 17'!P$30:T$33,"Pass")</f>
        <v>0</v>
      </c>
      <c r="L50" s="305" t="e">
        <f t="shared" si="10"/>
        <v>#DIV/0!</v>
      </c>
      <c r="M50" s="311">
        <f>COUNTIF('Client 17'!P$30:P$33,"Fail")</f>
        <v>0</v>
      </c>
      <c r="N50" s="312" t="e">
        <f t="shared" si="11"/>
        <v>#DIV/0!</v>
      </c>
      <c r="O50" s="311">
        <f>COUNTIF('Client 17'!P$37:P$49,"Pass")</f>
        <v>0</v>
      </c>
      <c r="P50" s="305" t="e">
        <f t="shared" si="12"/>
        <v>#DIV/0!</v>
      </c>
      <c r="Q50" s="311">
        <f>COUNTIF('Client 17'!P$37:P$49,"fail")</f>
        <v>0</v>
      </c>
      <c r="R50" s="312" t="e">
        <f t="shared" si="13"/>
        <v>#DIV/0!</v>
      </c>
      <c r="S50" s="311">
        <f>COUNTIF('Client 17'!P$53:P$60,"pass")</f>
        <v>0</v>
      </c>
      <c r="T50" s="305" t="e">
        <f t="shared" si="14"/>
        <v>#DIV/0!</v>
      </c>
      <c r="U50" s="311">
        <f>COUNTIF('Client 17'!P$53:P$60,"fail")</f>
        <v>0</v>
      </c>
      <c r="V50" s="312" t="e">
        <f t="shared" si="15"/>
        <v>#DIV/0!</v>
      </c>
      <c r="W50" s="311">
        <f>COUNTIF('Client 17'!P$64:P$69,"pass")</f>
        <v>0</v>
      </c>
      <c r="X50" s="305" t="e">
        <f t="shared" si="16"/>
        <v>#DIV/0!</v>
      </c>
      <c r="Y50">
        <f>COUNTIF('Client 17'!P$60:P$66,"fail")</f>
        <v>0</v>
      </c>
      <c r="Z50" s="312" t="e">
        <f t="shared" si="17"/>
        <v>#DIV/0!</v>
      </c>
      <c r="AA50" s="311">
        <f>COUNTIF('Client 17'!P$73:P$82,"pass")</f>
        <v>0</v>
      </c>
      <c r="AB50" s="305" t="e">
        <f t="shared" si="18"/>
        <v>#DIV/0!</v>
      </c>
      <c r="AC50" s="311">
        <f>COUNTIF('Client 17'!P$73:P$82,"fail")</f>
        <v>0</v>
      </c>
      <c r="AD50" s="312" t="e">
        <f t="shared" si="19"/>
        <v>#DIV/0!</v>
      </c>
      <c r="AE50" s="311">
        <f t="shared" si="0"/>
        <v>0</v>
      </c>
      <c r="AF50">
        <f t="shared" si="1"/>
        <v>0</v>
      </c>
      <c r="AG50" s="305" t="e">
        <f t="shared" si="20"/>
        <v>#DIV/0!</v>
      </c>
      <c r="AH50">
        <f t="shared" si="2"/>
        <v>0</v>
      </c>
      <c r="AI50" s="312" t="e">
        <f t="shared" si="21"/>
        <v>#DIV/0!</v>
      </c>
      <c r="AJ50" s="309" t="e">
        <f t="shared" si="22"/>
        <v>#DIV/0!</v>
      </c>
      <c r="AK50" s="330">
        <f>'Client 17'!Y$6</f>
        <v>0</v>
      </c>
      <c r="AL50">
        <f t="shared" ref="AL50:AM50" si="46">COUNTIF(N107,"yes")</f>
        <v>0</v>
      </c>
      <c r="AM50">
        <f t="shared" si="46"/>
        <v>0</v>
      </c>
      <c r="AN50">
        <f t="shared" si="24"/>
        <v>0</v>
      </c>
      <c r="AS50" s="334">
        <f t="shared" si="25"/>
        <v>0</v>
      </c>
      <c r="AT50" s="2">
        <f t="shared" si="26"/>
        <v>0</v>
      </c>
      <c r="AU50" s="2">
        <f t="shared" si="27"/>
        <v>0</v>
      </c>
      <c r="AV50" s="335">
        <f t="shared" si="28"/>
        <v>0</v>
      </c>
      <c r="AW50" s="2">
        <f t="shared" si="29"/>
        <v>0</v>
      </c>
      <c r="AX50" s="2">
        <f t="shared" si="30"/>
        <v>0</v>
      </c>
      <c r="AY50" s="2">
        <f t="shared" si="31"/>
        <v>0</v>
      </c>
    </row>
    <row r="51" spans="1:51" x14ac:dyDescent="0.2">
      <c r="A51" t="s">
        <v>32</v>
      </c>
      <c r="B51" t="str">
        <f>IF(MRN_18="N/A","No","Yes")</f>
        <v>No</v>
      </c>
      <c r="C51" s="311">
        <f>COUNTIF('Client 18'!P$9:P$19,"Pass")</f>
        <v>0</v>
      </c>
      <c r="D51" s="305" t="e">
        <f t="shared" si="6"/>
        <v>#DIV/0!</v>
      </c>
      <c r="E51">
        <f>COUNTIF('Client 18'!P$9:P$19,"Fail")</f>
        <v>0</v>
      </c>
      <c r="F51" s="312" t="e">
        <f t="shared" si="7"/>
        <v>#DIV/0!</v>
      </c>
      <c r="G51" s="311">
        <f>COUNTIF('Client 18'!P$23:P$26,"Pass")</f>
        <v>0</v>
      </c>
      <c r="H51" s="305" t="e">
        <f t="shared" si="8"/>
        <v>#DIV/0!</v>
      </c>
      <c r="I51" s="311">
        <f>COUNTIF('Client 18'!P$23:P$26,"Fail")</f>
        <v>0</v>
      </c>
      <c r="J51" s="312" t="e">
        <f t="shared" si="9"/>
        <v>#DIV/0!</v>
      </c>
      <c r="K51" s="311">
        <f>COUNTIF('Client 18'!P$30:T$33,"Pass")</f>
        <v>0</v>
      </c>
      <c r="L51" s="305" t="e">
        <f t="shared" si="10"/>
        <v>#DIV/0!</v>
      </c>
      <c r="M51" s="311">
        <f>COUNTIF('Client 18'!P$30:P$33,"Fail")</f>
        <v>0</v>
      </c>
      <c r="N51" s="312" t="e">
        <f t="shared" si="11"/>
        <v>#DIV/0!</v>
      </c>
      <c r="O51" s="311">
        <f>COUNTIF('Client 18'!P$37:P$49,"Pass")</f>
        <v>0</v>
      </c>
      <c r="P51" s="305" t="e">
        <f t="shared" si="12"/>
        <v>#DIV/0!</v>
      </c>
      <c r="Q51" s="311">
        <f>COUNTIF('Client 18'!P$37:P$49,"fail")</f>
        <v>0</v>
      </c>
      <c r="R51" s="312" t="e">
        <f t="shared" si="13"/>
        <v>#DIV/0!</v>
      </c>
      <c r="S51" s="311">
        <f>COUNTIF('Client 18'!P$53:P$60,"pass")</f>
        <v>0</v>
      </c>
      <c r="T51" s="305" t="e">
        <f t="shared" si="14"/>
        <v>#DIV/0!</v>
      </c>
      <c r="U51" s="311">
        <f>COUNTIF('Client 18'!P$53:P$60,"fail")</f>
        <v>0</v>
      </c>
      <c r="V51" s="312" t="e">
        <f t="shared" si="15"/>
        <v>#DIV/0!</v>
      </c>
      <c r="W51" s="311">
        <f>COUNTIF('Client 18'!P$64:P$69,"pass")</f>
        <v>0</v>
      </c>
      <c r="X51" s="305" t="e">
        <f t="shared" si="16"/>
        <v>#DIV/0!</v>
      </c>
      <c r="Y51">
        <f>COUNTIF('Client 18'!P$60:P$66,"fail")</f>
        <v>0</v>
      </c>
      <c r="Z51" s="312" t="e">
        <f t="shared" si="17"/>
        <v>#DIV/0!</v>
      </c>
      <c r="AA51" s="311">
        <f>COUNTIF('Client 18'!P$73:P$82,"pass")</f>
        <v>0</v>
      </c>
      <c r="AB51" s="305" t="e">
        <f t="shared" si="18"/>
        <v>#DIV/0!</v>
      </c>
      <c r="AC51" s="311">
        <f>COUNTIF('Client 18'!P$73:P$82,"fail")</f>
        <v>0</v>
      </c>
      <c r="AD51" s="312" t="e">
        <f t="shared" si="19"/>
        <v>#DIV/0!</v>
      </c>
      <c r="AE51" s="311">
        <f t="shared" si="0"/>
        <v>0</v>
      </c>
      <c r="AF51">
        <f t="shared" si="1"/>
        <v>0</v>
      </c>
      <c r="AG51" s="305" t="e">
        <f t="shared" si="20"/>
        <v>#DIV/0!</v>
      </c>
      <c r="AH51">
        <f t="shared" si="2"/>
        <v>0</v>
      </c>
      <c r="AI51" s="312" t="e">
        <f t="shared" si="21"/>
        <v>#DIV/0!</v>
      </c>
      <c r="AJ51" s="309" t="e">
        <f t="shared" si="22"/>
        <v>#DIV/0!</v>
      </c>
      <c r="AK51" s="330">
        <f>'Client 18'!Y$6</f>
        <v>0</v>
      </c>
      <c r="AL51">
        <f t="shared" ref="AL51:AM51" si="47">COUNTIF(N108,"yes")</f>
        <v>0</v>
      </c>
      <c r="AM51">
        <f t="shared" si="47"/>
        <v>0</v>
      </c>
      <c r="AN51">
        <f t="shared" si="24"/>
        <v>0</v>
      </c>
      <c r="AS51" s="334">
        <f t="shared" si="25"/>
        <v>0</v>
      </c>
      <c r="AT51" s="2">
        <f t="shared" si="26"/>
        <v>0</v>
      </c>
      <c r="AU51" s="2">
        <f t="shared" si="27"/>
        <v>0</v>
      </c>
      <c r="AV51" s="335">
        <f t="shared" si="28"/>
        <v>0</v>
      </c>
      <c r="AW51" s="2">
        <f t="shared" si="29"/>
        <v>0</v>
      </c>
      <c r="AX51" s="2">
        <f t="shared" si="30"/>
        <v>0</v>
      </c>
      <c r="AY51" s="2">
        <f t="shared" si="31"/>
        <v>0</v>
      </c>
    </row>
    <row r="52" spans="1:51" x14ac:dyDescent="0.2">
      <c r="A52" t="s">
        <v>33</v>
      </c>
      <c r="B52" t="str">
        <f>IF(MRN_19="N/A","No","Yes")</f>
        <v>No</v>
      </c>
      <c r="C52" s="311">
        <f>COUNTIF('Client 19'!P$9:P$19,"Pass")</f>
        <v>0</v>
      </c>
      <c r="D52" s="305" t="e">
        <f t="shared" si="6"/>
        <v>#DIV/0!</v>
      </c>
      <c r="E52">
        <f>COUNTIF('Client 19'!P$9:P$19,"Fail")</f>
        <v>0</v>
      </c>
      <c r="F52" s="312" t="e">
        <f t="shared" si="7"/>
        <v>#DIV/0!</v>
      </c>
      <c r="G52" s="311">
        <f>COUNTIF('Client 19'!P$23:P$26,"Pass")</f>
        <v>0</v>
      </c>
      <c r="H52" s="305" t="e">
        <f t="shared" si="8"/>
        <v>#DIV/0!</v>
      </c>
      <c r="I52" s="311">
        <f>COUNTIF('Client 19'!P$23:P$26,"Fail")</f>
        <v>0</v>
      </c>
      <c r="J52" s="312" t="e">
        <f t="shared" si="9"/>
        <v>#DIV/0!</v>
      </c>
      <c r="K52" s="311">
        <f>COUNTIF('Client 19'!P$30:T$33,"Pass")</f>
        <v>0</v>
      </c>
      <c r="L52" s="305" t="e">
        <f t="shared" si="10"/>
        <v>#DIV/0!</v>
      </c>
      <c r="M52" s="311">
        <f>COUNTIF('Client 19'!P$30:P$33,"Fail")</f>
        <v>0</v>
      </c>
      <c r="N52" s="312" t="e">
        <f t="shared" si="11"/>
        <v>#DIV/0!</v>
      </c>
      <c r="O52" s="311">
        <f>COUNTIF('Client 19'!P$37:P$49,"Pass")</f>
        <v>0</v>
      </c>
      <c r="P52" s="305" t="e">
        <f t="shared" si="12"/>
        <v>#DIV/0!</v>
      </c>
      <c r="Q52" s="311">
        <f>COUNTIF('Client 19'!P$37:P$49,"fail")</f>
        <v>0</v>
      </c>
      <c r="R52" s="312" t="e">
        <f t="shared" si="13"/>
        <v>#DIV/0!</v>
      </c>
      <c r="S52" s="311">
        <f>COUNTIF('Client 19'!P$53:P$60,"pass")</f>
        <v>0</v>
      </c>
      <c r="T52" s="305" t="e">
        <f t="shared" si="14"/>
        <v>#DIV/0!</v>
      </c>
      <c r="U52" s="311">
        <f>COUNTIF('Client 19'!P$53:P$60,"fail")</f>
        <v>0</v>
      </c>
      <c r="V52" s="312" t="e">
        <f t="shared" si="15"/>
        <v>#DIV/0!</v>
      </c>
      <c r="W52" s="311">
        <f>COUNTIF('Client 19'!P$64:P$69,"pass")</f>
        <v>0</v>
      </c>
      <c r="X52" s="305" t="e">
        <f t="shared" si="16"/>
        <v>#DIV/0!</v>
      </c>
      <c r="Y52">
        <f>COUNTIF('Client 19'!P$60:P$66,"fail")</f>
        <v>0</v>
      </c>
      <c r="Z52" s="312" t="e">
        <f t="shared" si="17"/>
        <v>#DIV/0!</v>
      </c>
      <c r="AA52" s="311">
        <f>COUNTIF('Client 19'!P$73:P$82,"pass")</f>
        <v>0</v>
      </c>
      <c r="AB52" s="305" t="e">
        <f t="shared" si="18"/>
        <v>#DIV/0!</v>
      </c>
      <c r="AC52" s="311">
        <f>COUNTIF('Client 19'!P$73:P$82,"fail")</f>
        <v>0</v>
      </c>
      <c r="AD52" s="312" t="e">
        <f t="shared" si="19"/>
        <v>#DIV/0!</v>
      </c>
      <c r="AE52" s="311">
        <f t="shared" si="0"/>
        <v>0</v>
      </c>
      <c r="AF52">
        <f t="shared" si="1"/>
        <v>0</v>
      </c>
      <c r="AG52" s="305" t="e">
        <f t="shared" si="20"/>
        <v>#DIV/0!</v>
      </c>
      <c r="AH52">
        <f t="shared" si="2"/>
        <v>0</v>
      </c>
      <c r="AI52" s="312" t="e">
        <f t="shared" si="21"/>
        <v>#DIV/0!</v>
      </c>
      <c r="AJ52" s="309" t="e">
        <f t="shared" si="22"/>
        <v>#DIV/0!</v>
      </c>
      <c r="AK52" s="330">
        <f>'Client 19'!Y$6</f>
        <v>0</v>
      </c>
      <c r="AL52">
        <f t="shared" ref="AL52:AM52" si="48">COUNTIF(N109,"yes")</f>
        <v>0</v>
      </c>
      <c r="AM52">
        <f t="shared" si="48"/>
        <v>0</v>
      </c>
      <c r="AN52">
        <f t="shared" si="24"/>
        <v>0</v>
      </c>
      <c r="AS52" s="334">
        <f t="shared" si="25"/>
        <v>0</v>
      </c>
      <c r="AT52" s="2">
        <f t="shared" si="26"/>
        <v>0</v>
      </c>
      <c r="AU52" s="2">
        <f t="shared" si="27"/>
        <v>0</v>
      </c>
      <c r="AV52" s="335">
        <f t="shared" si="28"/>
        <v>0</v>
      </c>
      <c r="AW52" s="2">
        <f t="shared" si="29"/>
        <v>0</v>
      </c>
      <c r="AX52" s="2">
        <f t="shared" si="30"/>
        <v>0</v>
      </c>
      <c r="AY52" s="2">
        <f t="shared" si="31"/>
        <v>0</v>
      </c>
    </row>
    <row r="53" spans="1:51" x14ac:dyDescent="0.2">
      <c r="A53" t="s">
        <v>34</v>
      </c>
      <c r="B53" t="str">
        <f>IF(MRN_20="N/A","No","Yes")</f>
        <v>No</v>
      </c>
      <c r="C53" s="311">
        <f>COUNTIF('Client 20'!P$9:P$19,"Pass")</f>
        <v>0</v>
      </c>
      <c r="D53" s="305" t="e">
        <f t="shared" si="6"/>
        <v>#DIV/0!</v>
      </c>
      <c r="E53">
        <f>COUNTIF('Client 20'!P$9:P$19,"Fail")</f>
        <v>0</v>
      </c>
      <c r="F53" s="312" t="e">
        <f t="shared" si="7"/>
        <v>#DIV/0!</v>
      </c>
      <c r="G53" s="311">
        <f>COUNTIF('Client 20'!P$23:P$26,"Pass")</f>
        <v>0</v>
      </c>
      <c r="H53" s="305" t="e">
        <f t="shared" si="8"/>
        <v>#DIV/0!</v>
      </c>
      <c r="I53" s="311">
        <f>COUNTIF('Client 20'!P$23:P$26,"Fail")</f>
        <v>0</v>
      </c>
      <c r="J53" s="312" t="e">
        <f t="shared" si="9"/>
        <v>#DIV/0!</v>
      </c>
      <c r="K53" s="311">
        <f>COUNTIF('Client 20'!P$30:T$33,"Pass")</f>
        <v>0</v>
      </c>
      <c r="L53" s="305" t="e">
        <f t="shared" si="10"/>
        <v>#DIV/0!</v>
      </c>
      <c r="M53" s="311">
        <f>COUNTIF('Client 20'!P$30:P$33,"Fail")</f>
        <v>0</v>
      </c>
      <c r="N53" s="312" t="e">
        <f t="shared" si="11"/>
        <v>#DIV/0!</v>
      </c>
      <c r="O53" s="311">
        <f>COUNTIF('Client 20'!P$37:P$49,"Pass")</f>
        <v>0</v>
      </c>
      <c r="P53" s="305" t="e">
        <f t="shared" si="12"/>
        <v>#DIV/0!</v>
      </c>
      <c r="Q53" s="311">
        <f>COUNTIF('Client 20'!P$37:P$49,"fail")</f>
        <v>0</v>
      </c>
      <c r="R53" s="312" t="e">
        <f t="shared" si="13"/>
        <v>#DIV/0!</v>
      </c>
      <c r="S53" s="311">
        <f>COUNTIF('Client 20'!P$53:P$60,"pass")</f>
        <v>0</v>
      </c>
      <c r="T53" s="305" t="e">
        <f t="shared" si="14"/>
        <v>#DIV/0!</v>
      </c>
      <c r="U53" s="311">
        <f>COUNTIF('Client 20'!P$53:P$60,"fail")</f>
        <v>0</v>
      </c>
      <c r="V53" s="312" t="e">
        <f t="shared" si="15"/>
        <v>#DIV/0!</v>
      </c>
      <c r="W53" s="311">
        <f>COUNTIF('Client 20'!P$64:P$69,"pass")</f>
        <v>0</v>
      </c>
      <c r="X53" s="305" t="e">
        <f>W53/SUM(W53+Y53)</f>
        <v>#DIV/0!</v>
      </c>
      <c r="Y53">
        <f>COUNTIF('Client 20'!P$60:P$66,"fail")</f>
        <v>0</v>
      </c>
      <c r="Z53" s="312" t="e">
        <f>Y53/SUM(Y53+W53)</f>
        <v>#DIV/0!</v>
      </c>
      <c r="AA53" s="311">
        <f>COUNTIF('Client 20'!P$73:P$82,"pass")</f>
        <v>0</v>
      </c>
      <c r="AB53" s="305" t="e">
        <f t="shared" si="18"/>
        <v>#DIV/0!</v>
      </c>
      <c r="AC53" s="311">
        <f>COUNTIF('Client 20'!P$73:P$82,"fail")</f>
        <v>0</v>
      </c>
      <c r="AD53" s="312" t="e">
        <f t="shared" si="19"/>
        <v>#DIV/0!</v>
      </c>
      <c r="AE53" s="311">
        <f t="shared" si="0"/>
        <v>0</v>
      </c>
      <c r="AF53">
        <f t="shared" si="1"/>
        <v>0</v>
      </c>
      <c r="AG53" s="305" t="e">
        <f t="shared" si="20"/>
        <v>#DIV/0!</v>
      </c>
      <c r="AH53">
        <f t="shared" si="2"/>
        <v>0</v>
      </c>
      <c r="AI53" s="312" t="e">
        <f t="shared" si="21"/>
        <v>#DIV/0!</v>
      </c>
      <c r="AJ53" s="309" t="e">
        <f t="shared" si="22"/>
        <v>#DIV/0!</v>
      </c>
      <c r="AK53" s="330">
        <f>'Client 20'!Y$6</f>
        <v>0</v>
      </c>
      <c r="AL53">
        <f t="shared" ref="AL53:AM53" si="49">COUNTIF(N110,"yes")</f>
        <v>0</v>
      </c>
      <c r="AM53">
        <f t="shared" si="49"/>
        <v>0</v>
      </c>
      <c r="AN53">
        <f t="shared" si="24"/>
        <v>0</v>
      </c>
      <c r="AS53" s="334">
        <f t="shared" si="25"/>
        <v>0</v>
      </c>
      <c r="AT53" s="2">
        <f t="shared" si="26"/>
        <v>0</v>
      </c>
      <c r="AU53" s="2">
        <f t="shared" si="27"/>
        <v>0</v>
      </c>
      <c r="AV53" s="335">
        <f t="shared" si="28"/>
        <v>0</v>
      </c>
      <c r="AW53" s="2">
        <f t="shared" si="29"/>
        <v>0</v>
      </c>
      <c r="AX53" s="2">
        <f t="shared" si="30"/>
        <v>0</v>
      </c>
      <c r="AY53" s="2">
        <f t="shared" si="31"/>
        <v>0</v>
      </c>
    </row>
    <row r="54" spans="1:51" ht="13.5" thickBot="1" x14ac:dyDescent="0.25">
      <c r="C54" s="313"/>
      <c r="D54" s="314"/>
      <c r="E54" s="314"/>
      <c r="F54" s="315"/>
      <c r="G54" s="313"/>
      <c r="H54" s="314"/>
      <c r="I54" s="314"/>
      <c r="J54" s="315"/>
      <c r="K54" s="314"/>
      <c r="L54" s="314"/>
      <c r="M54" s="314"/>
      <c r="N54" s="314"/>
      <c r="O54" s="313"/>
      <c r="P54" s="314"/>
      <c r="Q54" s="314"/>
      <c r="R54" s="315"/>
      <c r="S54" s="313"/>
      <c r="T54" s="314"/>
      <c r="U54" s="314"/>
      <c r="V54" s="315"/>
      <c r="W54" s="313"/>
      <c r="X54" s="314"/>
      <c r="Y54" s="314"/>
      <c r="Z54" s="315"/>
      <c r="AA54" s="313"/>
      <c r="AB54" s="314"/>
      <c r="AC54" s="314"/>
      <c r="AD54" s="315"/>
      <c r="AE54" s="313"/>
      <c r="AF54" s="314"/>
      <c r="AG54" s="314"/>
      <c r="AH54" s="314"/>
      <c r="AI54" s="315"/>
      <c r="AJ54" s="313"/>
      <c r="AK54" s="331"/>
      <c r="AL54" s="314"/>
      <c r="AM54" s="314"/>
      <c r="AN54" s="314"/>
      <c r="AS54" s="336"/>
      <c r="AT54" s="337"/>
      <c r="AU54" s="337"/>
      <c r="AV54" s="338"/>
      <c r="AW54" s="337"/>
      <c r="AX54" s="337"/>
      <c r="AY54" s="337"/>
    </row>
    <row r="55" spans="1:51" x14ac:dyDescent="0.2">
      <c r="C55">
        <f>SUM(C34:C53)</f>
        <v>0</v>
      </c>
      <c r="E55">
        <f>SUM(E34:E53)</f>
        <v>0</v>
      </c>
      <c r="G55">
        <f>SUM(G34:G53)</f>
        <v>0</v>
      </c>
      <c r="I55">
        <f>SUM(I34:I53)</f>
        <v>0</v>
      </c>
      <c r="K55">
        <f>SUM(K34:K53)</f>
        <v>0</v>
      </c>
      <c r="M55">
        <f>SUM(M34:M53)</f>
        <v>0</v>
      </c>
      <c r="O55">
        <f>SUM(O34:O53)</f>
        <v>0</v>
      </c>
      <c r="Q55">
        <f>SUM(Q34:Q53)</f>
        <v>0</v>
      </c>
      <c r="S55">
        <f>SUM(S34:S53)</f>
        <v>0</v>
      </c>
      <c r="U55">
        <f>SUM(U34:U53)</f>
        <v>0</v>
      </c>
      <c r="W55">
        <f>SUM(W34:W53)</f>
        <v>0</v>
      </c>
      <c r="Y55">
        <f>SUM(Y34:Y53)</f>
        <v>0</v>
      </c>
      <c r="AA55">
        <f>SUM(AA34:AA53)</f>
        <v>0</v>
      </c>
      <c r="AC55">
        <f>SUM(AC34:AC53)</f>
        <v>0</v>
      </c>
      <c r="AE55">
        <f>SUM(AE34:AE53)</f>
        <v>0</v>
      </c>
      <c r="AF55">
        <f>SUM(AF34:AF53)</f>
        <v>0</v>
      </c>
      <c r="AH55">
        <f>SUM(AH34:AH53)</f>
        <v>0</v>
      </c>
      <c r="AS55" s="353">
        <f>SUM(AS34:AS53)</f>
        <v>0</v>
      </c>
      <c r="AT55" s="353">
        <f t="shared" ref="AT55:AY55" si="50">SUM(AT34:AT53)</f>
        <v>0</v>
      </c>
      <c r="AU55" s="353">
        <f t="shared" si="50"/>
        <v>0</v>
      </c>
      <c r="AV55" s="353">
        <f t="shared" si="50"/>
        <v>0</v>
      </c>
      <c r="AW55" s="353">
        <f t="shared" si="50"/>
        <v>0</v>
      </c>
      <c r="AX55" s="353">
        <f t="shared" si="50"/>
        <v>0</v>
      </c>
      <c r="AY55" s="353">
        <f t="shared" si="50"/>
        <v>0</v>
      </c>
    </row>
    <row r="56" spans="1:51" x14ac:dyDescent="0.2">
      <c r="C56" s="6" t="s">
        <v>590</v>
      </c>
      <c r="D56" s="6" t="s">
        <v>591</v>
      </c>
      <c r="E56" s="6" t="s">
        <v>592</v>
      </c>
      <c r="F56" s="6" t="s">
        <v>65</v>
      </c>
    </row>
    <row r="57" spans="1:51" x14ac:dyDescent="0.2">
      <c r="B57" s="6" t="s">
        <v>521</v>
      </c>
      <c r="C57">
        <f>C55+G55+K55+O55+S55+W55+AA55</f>
        <v>0</v>
      </c>
      <c r="D57">
        <f>'Additional Services'!C9</f>
        <v>0</v>
      </c>
      <c r="E57">
        <f>'Provider Compliance'!T7</f>
        <v>0</v>
      </c>
      <c r="F57">
        <f>SUM(C57:E57)</f>
        <v>0</v>
      </c>
    </row>
    <row r="58" spans="1:51" x14ac:dyDescent="0.2">
      <c r="B58" s="6" t="s">
        <v>554</v>
      </c>
      <c r="C58">
        <f>E55+I55+M55+Q55+U55+Y55+AC55</f>
        <v>0</v>
      </c>
      <c r="D58">
        <f>'Additional Services'!C10</f>
        <v>0</v>
      </c>
      <c r="E58">
        <f>'Provider Compliance'!U7</f>
        <v>0</v>
      </c>
      <c r="F58">
        <f>SUM(C58:E58)</f>
        <v>0</v>
      </c>
      <c r="AA58" s="6" t="s">
        <v>522</v>
      </c>
      <c r="AC58" s="305" t="e">
        <f>AF55/AE55</f>
        <v>#DIV/0!</v>
      </c>
    </row>
    <row r="59" spans="1:51" x14ac:dyDescent="0.2">
      <c r="B59" s="6" t="s">
        <v>555</v>
      </c>
      <c r="C59">
        <f>SUM(C57:C58)</f>
        <v>0</v>
      </c>
      <c r="D59">
        <f>SUM(D57:D58)</f>
        <v>0</v>
      </c>
      <c r="E59">
        <f>SUM(E57:E58)</f>
        <v>0</v>
      </c>
      <c r="F59">
        <f>SUM(F57:F58)</f>
        <v>0</v>
      </c>
      <c r="AA59" s="6"/>
      <c r="AC59" s="305"/>
    </row>
    <row r="60" spans="1:51" x14ac:dyDescent="0.2">
      <c r="B60" s="6" t="s">
        <v>374</v>
      </c>
      <c r="C60" s="305" t="e">
        <f>C57/C59</f>
        <v>#DIV/0!</v>
      </c>
      <c r="F60" s="305" t="e">
        <f>F57/F59</f>
        <v>#DIV/0!</v>
      </c>
      <c r="AA60" s="6"/>
      <c r="AC60" s="305"/>
    </row>
    <row r="63" spans="1:51" ht="15.75" x14ac:dyDescent="0.25">
      <c r="A63" s="11" t="s">
        <v>159</v>
      </c>
    </row>
    <row r="65" spans="1:43" ht="15" x14ac:dyDescent="0.2">
      <c r="A65" s="6" t="s">
        <v>53</v>
      </c>
      <c r="B65" s="6" t="s">
        <v>96</v>
      </c>
      <c r="C65" s="4" t="s">
        <v>160</v>
      </c>
      <c r="D65" s="6" t="s">
        <v>161</v>
      </c>
      <c r="E65" s="6" t="s">
        <v>162</v>
      </c>
      <c r="F65" s="6" t="s">
        <v>163</v>
      </c>
      <c r="G65" s="4" t="s">
        <v>164</v>
      </c>
      <c r="H65" s="6" t="s">
        <v>165</v>
      </c>
      <c r="I65" s="6" t="s">
        <v>166</v>
      </c>
      <c r="J65" s="6" t="s">
        <v>167</v>
      </c>
      <c r="K65" s="4" t="s">
        <v>168</v>
      </c>
      <c r="L65" s="6" t="s">
        <v>169</v>
      </c>
      <c r="M65" s="6" t="s">
        <v>170</v>
      </c>
      <c r="N65" s="6" t="s">
        <v>171</v>
      </c>
      <c r="O65" s="4" t="s">
        <v>172</v>
      </c>
      <c r="P65" s="6" t="s">
        <v>173</v>
      </c>
      <c r="Q65" s="6" t="s">
        <v>174</v>
      </c>
      <c r="R65" s="6" t="s">
        <v>175</v>
      </c>
      <c r="S65" s="4" t="s">
        <v>176</v>
      </c>
      <c r="T65" s="6" t="s">
        <v>177</v>
      </c>
      <c r="U65" s="6" t="s">
        <v>178</v>
      </c>
      <c r="V65" s="6" t="s">
        <v>179</v>
      </c>
      <c r="W65" s="4" t="s">
        <v>180</v>
      </c>
      <c r="X65" s="6" t="s">
        <v>181</v>
      </c>
      <c r="Y65" s="6" t="s">
        <v>182</v>
      </c>
      <c r="Z65" s="6" t="s">
        <v>183</v>
      </c>
      <c r="AA65" s="6" t="s">
        <v>184</v>
      </c>
      <c r="AB65" s="6" t="s">
        <v>185</v>
      </c>
      <c r="AC65" s="6" t="s">
        <v>186</v>
      </c>
      <c r="AD65" s="6" t="s">
        <v>187</v>
      </c>
      <c r="AE65" s="6" t="s">
        <v>188</v>
      </c>
      <c r="AF65" s="1" t="s">
        <v>189</v>
      </c>
      <c r="AG65" s="1" t="s">
        <v>190</v>
      </c>
      <c r="AH65" s="1" t="s">
        <v>191</v>
      </c>
      <c r="AI65" s="1" t="s">
        <v>192</v>
      </c>
      <c r="AJ65" s="1" t="s">
        <v>193</v>
      </c>
      <c r="AK65" s="1" t="s">
        <v>194</v>
      </c>
      <c r="AL65" s="1" t="s">
        <v>195</v>
      </c>
      <c r="AM65" s="1" t="s">
        <v>196</v>
      </c>
      <c r="AN65" s="1" t="s">
        <v>197</v>
      </c>
      <c r="AO65" s="1" t="s">
        <v>198</v>
      </c>
      <c r="AP65" s="1" t="s">
        <v>199</v>
      </c>
      <c r="AQ65" s="1" t="s">
        <v>475</v>
      </c>
    </row>
    <row r="66" spans="1:43" s="164" customFormat="1" ht="15" x14ac:dyDescent="0.2">
      <c r="A66" s="167" t="s">
        <v>13</v>
      </c>
      <c r="B66" s="167" t="str">
        <f>VLOOKUP(DATA[[#This Row],[Client]],S96:T116,2,FALSE)</f>
        <v>No</v>
      </c>
      <c r="C66" s="207">
        <f ca="1">COUNTIF(INDIRECT("'"&amp;DATA[[#This Row],[Client]]&amp;"'!$p$9:$p$19"),"Pass")</f>
        <v>0</v>
      </c>
      <c r="D66" s="208">
        <f ca="1">IFERROR(DATA[[#This Row],[A_P]]/(DATA[[#This Row],[A_P]]+DATA[[#This Row],[A_F]]),0)</f>
        <v>0</v>
      </c>
      <c r="E66" s="207">
        <f ca="1">COUNTIF(INDIRECT("'"&amp;DATA[[#This Row],[Client]]&amp;"'!$p$9:$p$19"),"Fail")</f>
        <v>0</v>
      </c>
      <c r="F66" s="208">
        <f ca="1">IFERROR(DATA[[#This Row],[A_F]]/(DATA[[#This Row],[A_P]]+DATA[[#This Row],[A_F]]),0)</f>
        <v>0</v>
      </c>
      <c r="G66" s="207">
        <f ca="1">COUNTIF(INDIRECT("'"&amp;DATA[[#This Row],[Client]]&amp;"'!$P$24:$P$27"),"Pass")</f>
        <v>0</v>
      </c>
      <c r="H66" s="208">
        <f ca="1">IFERROR(DATA[[#This Row],[PL_P]]/(DATA[[#This Row],[PL_P]]+DATA[[#This Row],[PL_F]]),0)</f>
        <v>0</v>
      </c>
      <c r="I66" s="207">
        <f ca="1">COUNTIF(INDIRECT("'"&amp;DATA[[#This Row],[Client]]&amp;"'!$P$24:$P$27"),"Fail")</f>
        <v>0</v>
      </c>
      <c r="J66" s="208">
        <f ca="1">IFERROR(DATA[[#This Row],[PL_F]]/(DATA[[#This Row],[PL_P]]+DATA[[#This Row],[PL_F]]),0)</f>
        <v>0</v>
      </c>
      <c r="K66" s="207">
        <f ca="1">COUNTIF(INDIRECT("'"&amp;DATA[[#This Row],[Client]]&amp;"'!$P$32:$P$43"),"Pass")</f>
        <v>0</v>
      </c>
      <c r="L66" s="208">
        <f ca="1">IFERROR(DATA[[#This Row],[PN_P]]/(DATA[[#This Row],[PN_P]]+DATA[[#This Row],[PN_F]]),0)</f>
        <v>0</v>
      </c>
      <c r="M66" s="207">
        <f ca="1">COUNTIF(INDIRECT("'"&amp;DATA[[#This Row],[Client]]&amp;"'!$P$32:$P$43"),"Fail")</f>
        <v>0</v>
      </c>
      <c r="N66" s="208">
        <f ca="1">IFERROR(DATA[[#This Row],[PN_F]]/(DATA[[#This Row],[PN_P]]+DATA[[#This Row],[PN_F]]),0)</f>
        <v>0</v>
      </c>
      <c r="O66" s="207">
        <f ca="1">COUNTIF(INDIRECT("'"&amp;DATA[[#This Row],[Client]]&amp;"'!p48:$p$55"),"Pass")</f>
        <v>0</v>
      </c>
      <c r="P66" s="208">
        <f ca="1">IFERROR(DATA[[#This Row],[OD_P]]/(DATA[[#This Row],[OD_P]]+DATA[[#This Row],[OD_F]]),0)</f>
        <v>0</v>
      </c>
      <c r="Q66" s="207">
        <f ca="1">COUNTIF(INDIRECT("'"&amp;DATA[[#This Row],[Client]]&amp;"'!N48:$P$54"),"Fail")</f>
        <v>0</v>
      </c>
      <c r="R66" s="208">
        <f ca="1">IFERROR(DATA[[#This Row],[OD_F]]/(DATA[[#This Row],[OD_P]]+DATA[[#This Row],[OD_F]]),0)</f>
        <v>0</v>
      </c>
      <c r="S66" s="207">
        <f ca="1">COUNTIF(INDIRECT("'"&amp;DATA[[#This Row],[Client]]&amp;"'!$P$59:$P$63"),"Pass")</f>
        <v>0</v>
      </c>
      <c r="T66" s="208">
        <f ca="1">IFERROR(DATA[[#This Row],[SS_P]]/(DATA[[#This Row],[SS_P]]+DATA[[#This Row],[SS_F]]),0)</f>
        <v>0</v>
      </c>
      <c r="U66" s="207">
        <f ca="1">COUNTIF(INDIRECT("'"&amp;DATA[[#This Row],[Client]]&amp;"'!$P$59:$P$63"),"Fail")</f>
        <v>0</v>
      </c>
      <c r="V66" s="208">
        <f ca="1">IFERROR(DATA[[#This Row],[SS_F]]/(DATA[[#This Row],[SS_P]]+DATA[[#This Row],[SS_F]]),0)</f>
        <v>0</v>
      </c>
      <c r="W66" s="207">
        <f ca="1">COUNTIF(INDIRECT("'"&amp;DATA[[#This Row],[Client]]&amp;"'!$P$68:$P$79"),"Pass")</f>
        <v>0</v>
      </c>
      <c r="X66" s="208">
        <f ca="1">IFERROR(DATA[[#This Row],[B_P]]/(DATA[[#This Row],[B_P]]+DATA[[#This Row],[B_F]]),0)</f>
        <v>0</v>
      </c>
      <c r="Y66" s="207">
        <f ca="1">COUNTIF(INDIRECT("'"&amp;DATA[[#This Row],[Client]]&amp;"'!$P$68:$P$79"),"Fail")</f>
        <v>0</v>
      </c>
      <c r="Z66" s="208">
        <f ca="1">IFERROR(DATA[[#This Row],[B_F]]/(DATA[[#This Row],[B_P]]+DATA[[#This Row],[B_F]]),0)</f>
        <v>0</v>
      </c>
      <c r="AA66" s="209">
        <f ca="1">SUM(DATA[[#This Row],[A_P]],DATA[[#This Row],[A_F]],DATA[[#This Row],[PL_P]],DATA[[#This Row],[PL_F]],DATA[[#This Row],[PN_P]],DATA[[#This Row],[PN_F]],DATA[[#This Row],[OD_P]],DATA[[#This Row],[OD_F]],DATA[[#This Row],[SS_P]],DATA[[#This Row],[SS_F]],DATA[[#This Row],[B_P]],DATA[[#This Row],[B_F]])</f>
        <v>0</v>
      </c>
      <c r="AB66" s="164">
        <f ca="1">SUM(DATA[[#This Row],[A_P]],DATA[[#This Row],[PL_P]],DATA[[#This Row],[PN_P]],DATA[[#This Row],[OD_P]],DATA[[#This Row],[SS_P]],DATA[[#This Row],[B_P]])</f>
        <v>0</v>
      </c>
      <c r="AC66" s="210">
        <f ca="1">IFERROR(DATA[[#This Row],[Total_P]]/DATA[[#This Row],[Total]],0)</f>
        <v>0</v>
      </c>
      <c r="AD66" s="164">
        <f ca="1">SUM(DATA[[#This Row],[A_F]],DATA[[#This Row],[PL_F]],DATA[[#This Row],[PN_F]],DATA[[#This Row],[OD_F]],DATA[[#This Row],[SS_F]],DATA[[#This Row],[B_F]])</f>
        <v>0</v>
      </c>
      <c r="AE66" s="210">
        <f ca="1">IFERROR(DATA[[#This Row],[Total_F]]/DATA[[#This Row],[Total]],0)</f>
        <v>0</v>
      </c>
      <c r="AF66" s="207" t="str">
        <f ca="1">IF(DATA[[#This Row],[Total_P%]]&gt;0.9,"Yes","No")</f>
        <v>No</v>
      </c>
      <c r="AG66" s="211">
        <f>SUMIFS(H92:H690,N92:N690,"Yes",M92:M690,DATA[[#This Row],[Client]])</f>
        <v>0</v>
      </c>
      <c r="AH66" s="207">
        <f>COUNTIFS(N91:N689,"Yes",M91:M689,DATA[[#This Row],[Client]])</f>
        <v>0</v>
      </c>
      <c r="AI66" s="207">
        <f>COUNTIFS(I92:I690,"&lt;&gt;0",M92:M690,DATA[[#This Row],[Client]])</f>
        <v>0</v>
      </c>
      <c r="AJ66" s="207" t="e">
        <f>VLOOKUP(DATA[[#This Row],[Client]],#REF!,4,FALSE)</f>
        <v>#REF!</v>
      </c>
      <c r="AK66" s="207">
        <f ca="1">DATA[[#This Row],[A_P]]+DATA[[#This Row],[A_F]]</f>
        <v>0</v>
      </c>
      <c r="AL66" s="207">
        <f ca="1">DATA[[#This Row],[PL_P]]+DATA[[#This Row],[PL_F]]</f>
        <v>0</v>
      </c>
      <c r="AM66" s="207">
        <f ca="1">DATA[[#This Row],[PN_P]]+DATA[[#This Row],[PN_F]]</f>
        <v>0</v>
      </c>
      <c r="AN66" s="207">
        <f ca="1">DATA[[#This Row],[OD_P]]+DATA[[#This Row],[OD_F]]</f>
        <v>0</v>
      </c>
      <c r="AO66" s="207">
        <f ca="1">DATA[[#This Row],[SS_P]]+DATA[[#This Row],[SS_F]]</f>
        <v>0</v>
      </c>
      <c r="AP66" s="207">
        <f ca="1">DATA[[#This Row],[B_P]]+DATA[[#This Row],[B_F]]</f>
        <v>0</v>
      </c>
      <c r="AQ66" s="207"/>
    </row>
    <row r="67" spans="1:43" ht="15" x14ac:dyDescent="0.2">
      <c r="A67" s="6" t="s">
        <v>15</v>
      </c>
      <c r="B67" s="6" t="str">
        <f>VLOOKUP(DATA[[#This Row],[Client]],S97:T117,2,FALSE)</f>
        <v>No</v>
      </c>
      <c r="C67" s="1">
        <f ca="1">COUNTIF(INDIRECT("'"&amp;DATA[[#This Row],[Client]]&amp;"'!$p$9:$p$19"),"Pass")</f>
        <v>0</v>
      </c>
      <c r="D67" s="17">
        <f ca="1">IFERROR(DATA[[#This Row],[A_P]]/(DATA[[#This Row],[A_P]]+DATA[[#This Row],[A_F]]),0)</f>
        <v>0</v>
      </c>
      <c r="E67" s="1">
        <f ca="1">COUNTIF(INDIRECT("'"&amp;DATA[[#This Row],[Client]]&amp;"'!$p$9:$p$19"),"Fail")</f>
        <v>0</v>
      </c>
      <c r="F67" s="17">
        <f ca="1">IFERROR(DATA[[#This Row],[A_F]]/(DATA[[#This Row],[A_P]]+DATA[[#This Row],[A_F]]),0)</f>
        <v>0</v>
      </c>
      <c r="G67" s="1">
        <f ca="1">COUNTIF(INDIRECT("'"&amp;DATA[[#This Row],[Client]]&amp;"'!$P$24:$P$27"),"Pass")</f>
        <v>0</v>
      </c>
      <c r="H67" s="17">
        <f ca="1">IFERROR(DATA[[#This Row],[PL_P]]/(DATA[[#This Row],[PL_P]]+DATA[[#This Row],[PL_F]]),0)</f>
        <v>0</v>
      </c>
      <c r="I67" s="1">
        <f ca="1">COUNTIF(INDIRECT("'"&amp;DATA[[#This Row],[Client]]&amp;"'!$P$24:$P$27"),"Fail")</f>
        <v>0</v>
      </c>
      <c r="J67" s="17">
        <f ca="1">IFERROR(DATA[[#This Row],[PL_F]]/(DATA[[#This Row],[PL_P]]+DATA[[#This Row],[PL_F]]),0)</f>
        <v>0</v>
      </c>
      <c r="K67" s="1">
        <f ca="1">COUNTIF(INDIRECT("'"&amp;DATA[[#This Row],[Client]]&amp;"'!$P$32:$P$43"),"Pass")</f>
        <v>0</v>
      </c>
      <c r="L67" s="17">
        <f ca="1">IFERROR(DATA[[#This Row],[PN_P]]/(DATA[[#This Row],[PN_P]]+DATA[[#This Row],[PN_F]]),0)</f>
        <v>0</v>
      </c>
      <c r="M67" s="1">
        <f ca="1">COUNTIF(INDIRECT("'"&amp;DATA[[#This Row],[Client]]&amp;"'!$P$32:$P$43"),"Fail")</f>
        <v>0</v>
      </c>
      <c r="N67" s="17">
        <f ca="1">IFERROR(DATA[[#This Row],[PN_F]]/(DATA[[#This Row],[PN_P]]+DATA[[#This Row],[PN_F]]),0)</f>
        <v>0</v>
      </c>
      <c r="O67" s="1">
        <f ca="1">COUNTIF(INDIRECT("'"&amp;DATA[[#This Row],[Client]]&amp;"'!p48:$p$55"),"Pass")</f>
        <v>0</v>
      </c>
      <c r="P67" s="17">
        <f ca="1">IFERROR(DATA[[#This Row],[OD_P]]/(DATA[[#This Row],[OD_P]]+DATA[[#This Row],[OD_F]]),0)</f>
        <v>0</v>
      </c>
      <c r="Q67" s="1">
        <f ca="1">COUNTIF(INDIRECT("'"&amp;DATA[[#This Row],[Client]]&amp;"'!N48:$P$54"),"Fail")</f>
        <v>0</v>
      </c>
      <c r="R67" s="17">
        <f ca="1">IFERROR(DATA[[#This Row],[OD_F]]/(DATA[[#This Row],[OD_P]]+DATA[[#This Row],[OD_F]]),0)</f>
        <v>0</v>
      </c>
      <c r="S67" s="1">
        <f ca="1">COUNTIF(INDIRECT("'"&amp;DATA[[#This Row],[Client]]&amp;"'!$P$59:$P$63"),"Pass")</f>
        <v>0</v>
      </c>
      <c r="T67" s="17">
        <f ca="1">IFERROR(DATA[[#This Row],[SS_P]]/(DATA[[#This Row],[SS_P]]+DATA[[#This Row],[SS_F]]),0)</f>
        <v>0</v>
      </c>
      <c r="U67" s="1">
        <f ca="1">COUNTIF(INDIRECT("'"&amp;DATA[[#This Row],[Client]]&amp;"'!$P$59:$P$63"),"Fail")</f>
        <v>0</v>
      </c>
      <c r="V67" s="17">
        <f ca="1">IFERROR(DATA[[#This Row],[SS_F]]/(DATA[[#This Row],[SS_P]]+DATA[[#This Row],[SS_F]]),0)</f>
        <v>0</v>
      </c>
      <c r="W67" s="1">
        <f ca="1">COUNTIF(INDIRECT("'"&amp;DATA[[#This Row],[Client]]&amp;"'!$P$68:$P$79"),"Pass")</f>
        <v>0</v>
      </c>
      <c r="X67" s="17">
        <f ca="1">IFERROR(DATA[[#This Row],[B_P]]/(DATA[[#This Row],[B_P]]+DATA[[#This Row],[B_F]]),0)</f>
        <v>0</v>
      </c>
      <c r="Y67" s="1">
        <f ca="1">COUNTIF(INDIRECT("'"&amp;DATA[[#This Row],[Client]]&amp;"'!$P$68:$P$79"),"Fail")</f>
        <v>0</v>
      </c>
      <c r="Z67" s="17">
        <f ca="1">IFERROR(DATA[[#This Row],[B_F]]/(DATA[[#This Row],[B_P]]+DATA[[#This Row],[B_F]]),0)</f>
        <v>0</v>
      </c>
      <c r="AA67" s="25">
        <f ca="1">SUM(DATA[[#This Row],[A_P]],DATA[[#This Row],[A_F]],DATA[[#This Row],[PL_P]],DATA[[#This Row],[PL_F]],DATA[[#This Row],[PN_P]],DATA[[#This Row],[PN_F]],DATA[[#This Row],[OD_P]],DATA[[#This Row],[OD_F]],DATA[[#This Row],[SS_P]],DATA[[#This Row],[SS_F]],DATA[[#This Row],[B_P]],DATA[[#This Row],[B_F]])</f>
        <v>0</v>
      </c>
      <c r="AB67">
        <f ca="1">SUM(DATA[[#This Row],[A_P]],DATA[[#This Row],[PL_P]],DATA[[#This Row],[PN_P]],DATA[[#This Row],[OD_P]],DATA[[#This Row],[SS_P]],DATA[[#This Row],[B_P]])</f>
        <v>0</v>
      </c>
      <c r="AC67" s="27">
        <f ca="1">IFERROR(DATA[[#This Row],[Total_P]]/DATA[[#This Row],[Total]],0)</f>
        <v>0</v>
      </c>
      <c r="AD67">
        <f ca="1">SUM(DATA[[#This Row],[A_F]],DATA[[#This Row],[PL_F]],DATA[[#This Row],[PN_F]],DATA[[#This Row],[OD_F]],DATA[[#This Row],[SS_F]],DATA[[#This Row],[B_F]])</f>
        <v>0</v>
      </c>
      <c r="AE67" s="27">
        <f ca="1">IFERROR(DATA[[#This Row],[Total_F]]/DATA[[#This Row],[Total]],0)</f>
        <v>0</v>
      </c>
      <c r="AF67" s="1" t="str">
        <f ca="1">IF(DATA[[#This Row],[Total_P%]]&gt;0.9,"Yes","No")</f>
        <v>No</v>
      </c>
      <c r="AG67" s="24">
        <f>SUMIFS(H92:H691,N92:N691,"Yes",M92:M691,DATA[[#This Row],[Client]])</f>
        <v>0</v>
      </c>
      <c r="AH67" s="1">
        <f>COUNTIFS(N92:N690,"Yes",M92:M690,DATA[[#This Row],[Client]])</f>
        <v>0</v>
      </c>
      <c r="AI67" s="1">
        <f>COUNTIFS(I92:I691,"&lt;&gt;0",M92:M691,DATA[[#This Row],[Client]])</f>
        <v>0</v>
      </c>
      <c r="AJ67" s="1" t="e">
        <f>VLOOKUP(DATA[[#This Row],[Client]],#REF!,4,FALSE)</f>
        <v>#REF!</v>
      </c>
      <c r="AK67" s="1">
        <f ca="1">DATA[[#This Row],[A_P]]+DATA[[#This Row],[A_F]]</f>
        <v>0</v>
      </c>
      <c r="AL67" s="1">
        <f ca="1">DATA[[#This Row],[PL_P]]+DATA[[#This Row],[PL_F]]</f>
        <v>0</v>
      </c>
      <c r="AM67" s="1">
        <f ca="1">DATA[[#This Row],[PN_P]]+DATA[[#This Row],[PN_F]]</f>
        <v>0</v>
      </c>
      <c r="AN67" s="1">
        <f ca="1">DATA[[#This Row],[OD_P]]+DATA[[#This Row],[OD_F]]</f>
        <v>0</v>
      </c>
      <c r="AO67" s="1">
        <f ca="1">DATA[[#This Row],[SS_P]]+DATA[[#This Row],[SS_F]]</f>
        <v>0</v>
      </c>
      <c r="AP67" s="1">
        <f ca="1">DATA[[#This Row],[B_P]]+DATA[[#This Row],[B_F]]</f>
        <v>0</v>
      </c>
      <c r="AQ67" s="1"/>
    </row>
    <row r="68" spans="1:43" ht="15" x14ac:dyDescent="0.2">
      <c r="A68" s="6" t="s">
        <v>16</v>
      </c>
      <c r="B68" s="6" t="str">
        <f>VLOOKUP(DATA[[#This Row],[Client]],S98:T118,2,FALSE)</f>
        <v>No</v>
      </c>
      <c r="C68" s="1">
        <f ca="1">COUNTIF(INDIRECT("'"&amp;DATA[[#This Row],[Client]]&amp;"'!$p$9:$p$19"),"Pass")</f>
        <v>0</v>
      </c>
      <c r="D68" s="17">
        <f ca="1">IFERROR(DATA[[#This Row],[A_P]]/(DATA[[#This Row],[A_P]]+DATA[[#This Row],[A_F]]),0)</f>
        <v>0</v>
      </c>
      <c r="E68" s="1">
        <f ca="1">COUNTIF(INDIRECT("'"&amp;DATA[[#This Row],[Client]]&amp;"'!$p$9:$p$19"),"Fail")</f>
        <v>0</v>
      </c>
      <c r="F68" s="17">
        <f ca="1">IFERROR(DATA[[#This Row],[A_F]]/(DATA[[#This Row],[A_P]]+DATA[[#This Row],[A_F]]),0)</f>
        <v>0</v>
      </c>
      <c r="G68" s="1">
        <f ca="1">COUNTIF(INDIRECT("'"&amp;DATA[[#This Row],[Client]]&amp;"'!$P$24:$P$27"),"Pass")</f>
        <v>0</v>
      </c>
      <c r="H68" s="17">
        <f ca="1">IFERROR(DATA[[#This Row],[PL_P]]/(DATA[[#This Row],[PL_P]]+DATA[[#This Row],[PL_F]]),0)</f>
        <v>0</v>
      </c>
      <c r="I68" s="1">
        <f ca="1">COUNTIF(INDIRECT("'"&amp;DATA[[#This Row],[Client]]&amp;"'!$P$24:$P$27"),"Fail")</f>
        <v>0</v>
      </c>
      <c r="J68" s="17">
        <f ca="1">IFERROR(DATA[[#This Row],[PL_F]]/(DATA[[#This Row],[PL_P]]+DATA[[#This Row],[PL_F]]),0)</f>
        <v>0</v>
      </c>
      <c r="K68" s="1">
        <f ca="1">COUNTIF(INDIRECT("'"&amp;DATA[[#This Row],[Client]]&amp;"'!$P$32:$P$43"),"Pass")</f>
        <v>0</v>
      </c>
      <c r="L68" s="17">
        <f ca="1">IFERROR(DATA[[#This Row],[PN_P]]/(DATA[[#This Row],[PN_P]]+DATA[[#This Row],[PN_F]]),0)</f>
        <v>0</v>
      </c>
      <c r="M68" s="1">
        <f ca="1">COUNTIF(INDIRECT("'"&amp;DATA[[#This Row],[Client]]&amp;"'!$P$32:$P$43"),"Fail")</f>
        <v>0</v>
      </c>
      <c r="N68" s="17">
        <f ca="1">IFERROR(DATA[[#This Row],[PN_F]]/(DATA[[#This Row],[PN_P]]+DATA[[#This Row],[PN_F]]),0)</f>
        <v>0</v>
      </c>
      <c r="O68" s="1">
        <f ca="1">COUNTIF(INDIRECT("'"&amp;DATA[[#This Row],[Client]]&amp;"'!p48:$p$55"),"Pass")</f>
        <v>0</v>
      </c>
      <c r="P68" s="17">
        <f ca="1">IFERROR(DATA[[#This Row],[OD_P]]/(DATA[[#This Row],[OD_P]]+DATA[[#This Row],[OD_F]]),0)</f>
        <v>0</v>
      </c>
      <c r="Q68" s="1">
        <f ca="1">COUNTIF(INDIRECT("'"&amp;DATA[[#This Row],[Client]]&amp;"'!N48:$P$54"),"Fail")</f>
        <v>0</v>
      </c>
      <c r="R68" s="17">
        <f ca="1">IFERROR(DATA[[#This Row],[OD_F]]/(DATA[[#This Row],[OD_P]]+DATA[[#This Row],[OD_F]]),0)</f>
        <v>0</v>
      </c>
      <c r="S68" s="1">
        <f ca="1">COUNTIF(INDIRECT("'"&amp;DATA[[#This Row],[Client]]&amp;"'!$P$59:$P$63"),"Pass")</f>
        <v>0</v>
      </c>
      <c r="T68" s="17">
        <f ca="1">IFERROR(DATA[[#This Row],[SS_P]]/(DATA[[#This Row],[SS_P]]+DATA[[#This Row],[SS_F]]),0)</f>
        <v>0</v>
      </c>
      <c r="U68" s="1">
        <f ca="1">COUNTIF(INDIRECT("'"&amp;DATA[[#This Row],[Client]]&amp;"'!$P$59:$P$63"),"Fail")</f>
        <v>0</v>
      </c>
      <c r="V68" s="17">
        <f ca="1">IFERROR(DATA[[#This Row],[SS_F]]/(DATA[[#This Row],[SS_P]]+DATA[[#This Row],[SS_F]]),0)</f>
        <v>0</v>
      </c>
      <c r="W68" s="1">
        <f ca="1">COUNTIF(INDIRECT("'"&amp;DATA[[#This Row],[Client]]&amp;"'!$P$68:$P$79"),"Pass")</f>
        <v>0</v>
      </c>
      <c r="X68" s="17">
        <f ca="1">IFERROR(DATA[[#This Row],[B_P]]/(DATA[[#This Row],[B_P]]+DATA[[#This Row],[B_F]]),0)</f>
        <v>0</v>
      </c>
      <c r="Y68" s="1">
        <f ca="1">COUNTIF(INDIRECT("'"&amp;DATA[[#This Row],[Client]]&amp;"'!$P$68:$P$79"),"Fail")</f>
        <v>0</v>
      </c>
      <c r="Z68" s="17">
        <f ca="1">IFERROR(DATA[[#This Row],[B_F]]/(DATA[[#This Row],[B_P]]+DATA[[#This Row],[B_F]]),0)</f>
        <v>0</v>
      </c>
      <c r="AA68" s="25">
        <f ca="1">SUM(DATA[[#This Row],[A_P]],DATA[[#This Row],[A_F]],DATA[[#This Row],[PL_P]],DATA[[#This Row],[PL_F]],DATA[[#This Row],[PN_P]],DATA[[#This Row],[PN_F]],DATA[[#This Row],[OD_P]],DATA[[#This Row],[OD_F]],DATA[[#This Row],[SS_P]],DATA[[#This Row],[SS_F]],DATA[[#This Row],[B_P]],DATA[[#This Row],[B_F]])</f>
        <v>0</v>
      </c>
      <c r="AB68">
        <f ca="1">SUM(DATA[[#This Row],[A_P]],DATA[[#This Row],[PL_P]],DATA[[#This Row],[PN_P]],DATA[[#This Row],[OD_P]],DATA[[#This Row],[SS_P]],DATA[[#This Row],[B_P]])</f>
        <v>0</v>
      </c>
      <c r="AC68" s="27">
        <f ca="1">IFERROR(DATA[[#This Row],[Total_P]]/DATA[[#This Row],[Total]],0)</f>
        <v>0</v>
      </c>
      <c r="AD68">
        <f ca="1">SUM(DATA[[#This Row],[A_F]],DATA[[#This Row],[PL_F]],DATA[[#This Row],[PN_F]],DATA[[#This Row],[OD_F]],DATA[[#This Row],[SS_F]],DATA[[#This Row],[B_F]])</f>
        <v>0</v>
      </c>
      <c r="AE68" s="27">
        <f ca="1">IFERROR(DATA[[#This Row],[Total_F]]/DATA[[#This Row],[Total]],0)</f>
        <v>0</v>
      </c>
      <c r="AF68" s="1" t="str">
        <f ca="1">IF(DATA[[#This Row],[Total_P%]]&gt;0.9,"Yes","No")</f>
        <v>No</v>
      </c>
      <c r="AG68" s="24">
        <f>SUMIFS(H93:H692,N93:N692,"Yes",M93:M692,DATA[[#This Row],[Client]])</f>
        <v>0</v>
      </c>
      <c r="AH68" s="1">
        <f>COUNTIFS(N92:N691,"Yes",M92:M691,DATA[[#This Row],[Client]])</f>
        <v>0</v>
      </c>
      <c r="AI68" s="1">
        <f>COUNTIFS(I93:I692,"&lt;&gt;0",M93:M692,DATA[[#This Row],[Client]])</f>
        <v>0</v>
      </c>
      <c r="AJ68" s="1" t="e">
        <f>VLOOKUP(DATA[[#This Row],[Client]],#REF!,4,FALSE)</f>
        <v>#REF!</v>
      </c>
      <c r="AK68" s="1">
        <f ca="1">DATA[[#This Row],[A_P]]+DATA[[#This Row],[A_F]]</f>
        <v>0</v>
      </c>
      <c r="AL68" s="1">
        <f ca="1">DATA[[#This Row],[PL_P]]+DATA[[#This Row],[PL_F]]</f>
        <v>0</v>
      </c>
      <c r="AM68" s="1">
        <f ca="1">DATA[[#This Row],[PN_P]]+DATA[[#This Row],[PN_F]]</f>
        <v>0</v>
      </c>
      <c r="AN68" s="1">
        <f ca="1">DATA[[#This Row],[OD_P]]+DATA[[#This Row],[OD_F]]</f>
        <v>0</v>
      </c>
      <c r="AO68" s="1">
        <f ca="1">DATA[[#This Row],[SS_P]]+DATA[[#This Row],[SS_F]]</f>
        <v>0</v>
      </c>
      <c r="AP68" s="1">
        <f ca="1">DATA[[#This Row],[B_P]]+DATA[[#This Row],[B_F]]</f>
        <v>0</v>
      </c>
      <c r="AQ68" s="1"/>
    </row>
    <row r="69" spans="1:43" ht="15" x14ac:dyDescent="0.2">
      <c r="A69" s="6" t="s">
        <v>18</v>
      </c>
      <c r="B69" s="6" t="str">
        <f>VLOOKUP(DATA[[#This Row],[Client]],S99:T119,2,FALSE)</f>
        <v>No</v>
      </c>
      <c r="C69" s="1">
        <f ca="1">COUNTIF(INDIRECT("'"&amp;DATA[[#This Row],[Client]]&amp;"'!$p$9:$p$19"),"Pass")</f>
        <v>0</v>
      </c>
      <c r="D69" s="17">
        <f ca="1">IFERROR(DATA[[#This Row],[A_P]]/(DATA[[#This Row],[A_P]]+DATA[[#This Row],[A_F]]),0)</f>
        <v>0</v>
      </c>
      <c r="E69" s="1">
        <f ca="1">COUNTIF(INDIRECT("'"&amp;DATA[[#This Row],[Client]]&amp;"'!$p$9:$p$19"),"Fail")</f>
        <v>0</v>
      </c>
      <c r="F69" s="17">
        <f ca="1">IFERROR(DATA[[#This Row],[A_F]]/(DATA[[#This Row],[A_P]]+DATA[[#This Row],[A_F]]),0)</f>
        <v>0</v>
      </c>
      <c r="G69" s="1">
        <f ca="1">COUNTIF(INDIRECT("'"&amp;DATA[[#This Row],[Client]]&amp;"'!$P$24:$P$27"),"Pass")</f>
        <v>0</v>
      </c>
      <c r="H69" s="17">
        <f ca="1">IFERROR(DATA[[#This Row],[PL_P]]/(DATA[[#This Row],[PL_P]]+DATA[[#This Row],[PL_F]]),0)</f>
        <v>0</v>
      </c>
      <c r="I69" s="1">
        <f ca="1">COUNTIF(INDIRECT("'"&amp;DATA[[#This Row],[Client]]&amp;"'!$P$24:$P$27"),"Fail")</f>
        <v>0</v>
      </c>
      <c r="J69" s="17">
        <f ca="1">IFERROR(DATA[[#This Row],[PL_F]]/(DATA[[#This Row],[PL_P]]+DATA[[#This Row],[PL_F]]),0)</f>
        <v>0</v>
      </c>
      <c r="K69" s="1">
        <f ca="1">COUNTIF(INDIRECT("'"&amp;DATA[[#This Row],[Client]]&amp;"'!$P$32:$P$43"),"Pass")</f>
        <v>0</v>
      </c>
      <c r="L69" s="17">
        <f ca="1">IFERROR(DATA[[#This Row],[PN_P]]/(DATA[[#This Row],[PN_P]]+DATA[[#This Row],[PN_F]]),0)</f>
        <v>0</v>
      </c>
      <c r="M69" s="1">
        <f ca="1">COUNTIF(INDIRECT("'"&amp;DATA[[#This Row],[Client]]&amp;"'!$P$32:$P$43"),"Fail")</f>
        <v>0</v>
      </c>
      <c r="N69" s="17">
        <f ca="1">IFERROR(DATA[[#This Row],[PN_F]]/(DATA[[#This Row],[PN_P]]+DATA[[#This Row],[PN_F]]),0)</f>
        <v>0</v>
      </c>
      <c r="O69" s="1">
        <f ca="1">COUNTIF(INDIRECT("'"&amp;DATA[[#This Row],[Client]]&amp;"'!p48:$p$55"),"Pass")</f>
        <v>0</v>
      </c>
      <c r="P69" s="17">
        <f ca="1">IFERROR(DATA[[#This Row],[OD_P]]/(DATA[[#This Row],[OD_P]]+DATA[[#This Row],[OD_F]]),0)</f>
        <v>0</v>
      </c>
      <c r="Q69" s="1">
        <f ca="1">COUNTIF(INDIRECT("'"&amp;DATA[[#This Row],[Client]]&amp;"'!N48:$P$54"),"Fail")</f>
        <v>0</v>
      </c>
      <c r="R69" s="17">
        <f ca="1">IFERROR(DATA[[#This Row],[OD_F]]/(DATA[[#This Row],[OD_P]]+DATA[[#This Row],[OD_F]]),0)</f>
        <v>0</v>
      </c>
      <c r="S69" s="1">
        <f ca="1">COUNTIF(INDIRECT("'"&amp;DATA[[#This Row],[Client]]&amp;"'!$P$59:$P$63"),"Pass")</f>
        <v>0</v>
      </c>
      <c r="T69" s="17">
        <f ca="1">IFERROR(DATA[[#This Row],[SS_P]]/(DATA[[#This Row],[SS_P]]+DATA[[#This Row],[SS_F]]),0)</f>
        <v>0</v>
      </c>
      <c r="U69" s="1">
        <f ca="1">COUNTIF(INDIRECT("'"&amp;DATA[[#This Row],[Client]]&amp;"'!$P$59:$P$63"),"Fail")</f>
        <v>0</v>
      </c>
      <c r="V69" s="17">
        <f ca="1">IFERROR(DATA[[#This Row],[SS_F]]/(DATA[[#This Row],[SS_P]]+DATA[[#This Row],[SS_F]]),0)</f>
        <v>0</v>
      </c>
      <c r="W69" s="1">
        <f ca="1">COUNTIF(INDIRECT("'"&amp;DATA[[#This Row],[Client]]&amp;"'!$P$68:$P$79"),"Pass")</f>
        <v>0</v>
      </c>
      <c r="X69" s="17">
        <f ca="1">IFERROR(DATA[[#This Row],[B_P]]/(DATA[[#This Row],[B_P]]+DATA[[#This Row],[B_F]]),0)</f>
        <v>0</v>
      </c>
      <c r="Y69" s="1">
        <f ca="1">COUNTIF(INDIRECT("'"&amp;DATA[[#This Row],[Client]]&amp;"'!$P$68:$P$79"),"Fail")</f>
        <v>0</v>
      </c>
      <c r="Z69" s="17">
        <f ca="1">IFERROR(DATA[[#This Row],[B_F]]/(DATA[[#This Row],[B_P]]+DATA[[#This Row],[B_F]]),0)</f>
        <v>0</v>
      </c>
      <c r="AA69" s="25">
        <f ca="1">SUM(DATA[[#This Row],[A_P]],DATA[[#This Row],[A_F]],DATA[[#This Row],[PL_P]],DATA[[#This Row],[PL_F]],DATA[[#This Row],[PN_P]],DATA[[#This Row],[PN_F]],DATA[[#This Row],[OD_P]],DATA[[#This Row],[OD_F]],DATA[[#This Row],[SS_P]],DATA[[#This Row],[SS_F]],DATA[[#This Row],[B_P]],DATA[[#This Row],[B_F]])</f>
        <v>0</v>
      </c>
      <c r="AB69">
        <f ca="1">SUM(DATA[[#This Row],[A_P]],DATA[[#This Row],[PL_P]],DATA[[#This Row],[PN_P]],DATA[[#This Row],[OD_P]],DATA[[#This Row],[SS_P]],DATA[[#This Row],[B_P]])</f>
        <v>0</v>
      </c>
      <c r="AC69" s="27">
        <f ca="1">IFERROR(DATA[[#This Row],[Total_P]]/DATA[[#This Row],[Total]],0)</f>
        <v>0</v>
      </c>
      <c r="AD69">
        <f ca="1">SUM(DATA[[#This Row],[A_F]],DATA[[#This Row],[PL_F]],DATA[[#This Row],[PN_F]],DATA[[#This Row],[OD_F]],DATA[[#This Row],[SS_F]],DATA[[#This Row],[B_F]])</f>
        <v>0</v>
      </c>
      <c r="AE69" s="27">
        <f ca="1">IFERROR(DATA[[#This Row],[Total_F]]/DATA[[#This Row],[Total]],0)</f>
        <v>0</v>
      </c>
      <c r="AF69" s="1" t="str">
        <f ca="1">IF(DATA[[#This Row],[Total_P%]]&gt;0.9,"Yes","No")</f>
        <v>No</v>
      </c>
      <c r="AG69" s="24">
        <f>SUMIFS(H94:H693,N94:N693,"Yes",M94:M693,DATA[[#This Row],[Client]])</f>
        <v>0</v>
      </c>
      <c r="AH69" s="1">
        <f>COUNTIFS(N93:N692,"Yes",M93:M692,DATA[[#This Row],[Client]])</f>
        <v>0</v>
      </c>
      <c r="AI69" s="1">
        <f>COUNTIFS(I94:I693,"&lt;&gt;0",M94:M693,DATA[[#This Row],[Client]])</f>
        <v>0</v>
      </c>
      <c r="AJ69" s="1" t="e">
        <f>VLOOKUP(DATA[[#This Row],[Client]],#REF!,4,FALSE)</f>
        <v>#REF!</v>
      </c>
      <c r="AK69" s="1">
        <f ca="1">DATA[[#This Row],[A_P]]+DATA[[#This Row],[A_F]]</f>
        <v>0</v>
      </c>
      <c r="AL69" s="1">
        <f ca="1">DATA[[#This Row],[PL_P]]+DATA[[#This Row],[PL_F]]</f>
        <v>0</v>
      </c>
      <c r="AM69" s="1">
        <f ca="1">DATA[[#This Row],[PN_P]]+DATA[[#This Row],[PN_F]]</f>
        <v>0</v>
      </c>
      <c r="AN69" s="1">
        <f ca="1">DATA[[#This Row],[OD_P]]+DATA[[#This Row],[OD_F]]</f>
        <v>0</v>
      </c>
      <c r="AO69" s="1">
        <f ca="1">DATA[[#This Row],[SS_P]]+DATA[[#This Row],[SS_F]]</f>
        <v>0</v>
      </c>
      <c r="AP69" s="1">
        <f ca="1">DATA[[#This Row],[B_P]]+DATA[[#This Row],[B_F]]</f>
        <v>0</v>
      </c>
      <c r="AQ69" s="1"/>
    </row>
    <row r="70" spans="1:43" ht="15" x14ac:dyDescent="0.2">
      <c r="A70" s="6" t="s">
        <v>19</v>
      </c>
      <c r="B70" s="6" t="str">
        <f>VLOOKUP(DATA[[#This Row],[Client]],S100:T120,2,FALSE)</f>
        <v>No</v>
      </c>
      <c r="C70" s="1">
        <f ca="1">COUNTIF(INDIRECT("'"&amp;DATA[[#This Row],[Client]]&amp;"'!$p$9:$p$19"),"Pass")</f>
        <v>0</v>
      </c>
      <c r="D70" s="17">
        <f ca="1">IFERROR(DATA[[#This Row],[A_P]]/(DATA[[#This Row],[A_P]]+DATA[[#This Row],[A_F]]),0)</f>
        <v>0</v>
      </c>
      <c r="E70" s="1">
        <f ca="1">COUNTIF(INDIRECT("'"&amp;DATA[[#This Row],[Client]]&amp;"'!$p$9:$p$19"),"Fail")</f>
        <v>0</v>
      </c>
      <c r="F70" s="17">
        <f ca="1">IFERROR(DATA[[#This Row],[A_F]]/(DATA[[#This Row],[A_P]]+DATA[[#This Row],[A_F]]),0)</f>
        <v>0</v>
      </c>
      <c r="G70" s="1">
        <f ca="1">COUNTIF(INDIRECT("'"&amp;DATA[[#This Row],[Client]]&amp;"'!$P$24:$P$27"),"Pass")</f>
        <v>0</v>
      </c>
      <c r="H70" s="17">
        <f ca="1">IFERROR(DATA[[#This Row],[PL_P]]/(DATA[[#This Row],[PL_P]]+DATA[[#This Row],[PL_F]]),0)</f>
        <v>0</v>
      </c>
      <c r="I70" s="1">
        <f ca="1">COUNTIF(INDIRECT("'"&amp;DATA[[#This Row],[Client]]&amp;"'!$P$24:$P$27"),"Fail")</f>
        <v>0</v>
      </c>
      <c r="J70" s="17">
        <f ca="1">IFERROR(DATA[[#This Row],[PL_F]]/(DATA[[#This Row],[PL_P]]+DATA[[#This Row],[PL_F]]),0)</f>
        <v>0</v>
      </c>
      <c r="K70" s="1">
        <f ca="1">COUNTIF(INDIRECT("'"&amp;DATA[[#This Row],[Client]]&amp;"'!$P$32:$P$43"),"Pass")</f>
        <v>0</v>
      </c>
      <c r="L70" s="17">
        <f ca="1">IFERROR(DATA[[#This Row],[PN_P]]/(DATA[[#This Row],[PN_P]]+DATA[[#This Row],[PN_F]]),0)</f>
        <v>0</v>
      </c>
      <c r="M70" s="1">
        <f ca="1">COUNTIF(INDIRECT("'"&amp;DATA[[#This Row],[Client]]&amp;"'!$P$32:$P$43"),"Fail")</f>
        <v>0</v>
      </c>
      <c r="N70" s="17">
        <f ca="1">IFERROR(DATA[[#This Row],[PN_F]]/(DATA[[#This Row],[PN_P]]+DATA[[#This Row],[PN_F]]),0)</f>
        <v>0</v>
      </c>
      <c r="O70" s="1">
        <f ca="1">COUNTIF(INDIRECT("'"&amp;DATA[[#This Row],[Client]]&amp;"'!p48:$p$55"),"Pass")</f>
        <v>0</v>
      </c>
      <c r="P70" s="17">
        <f ca="1">IFERROR(DATA[[#This Row],[OD_P]]/(DATA[[#This Row],[OD_P]]+DATA[[#This Row],[OD_F]]),0)</f>
        <v>0</v>
      </c>
      <c r="Q70" s="1">
        <f ca="1">COUNTIF(INDIRECT("'"&amp;DATA[[#This Row],[Client]]&amp;"'!N48:$P$54"),"Fail")</f>
        <v>0</v>
      </c>
      <c r="R70" s="17">
        <f ca="1">IFERROR(DATA[[#This Row],[OD_F]]/(DATA[[#This Row],[OD_P]]+DATA[[#This Row],[OD_F]]),0)</f>
        <v>0</v>
      </c>
      <c r="S70" s="1">
        <f ca="1">COUNTIF(INDIRECT("'"&amp;DATA[[#This Row],[Client]]&amp;"'!$P$59:$P$63"),"Pass")</f>
        <v>0</v>
      </c>
      <c r="T70" s="17">
        <f ca="1">IFERROR(DATA[[#This Row],[SS_P]]/(DATA[[#This Row],[SS_P]]+DATA[[#This Row],[SS_F]]),0)</f>
        <v>0</v>
      </c>
      <c r="U70" s="1">
        <f ca="1">COUNTIF(INDIRECT("'"&amp;DATA[[#This Row],[Client]]&amp;"'!$P$59:$P$63"),"Fail")</f>
        <v>0</v>
      </c>
      <c r="V70" s="17">
        <f ca="1">IFERROR(DATA[[#This Row],[SS_F]]/(DATA[[#This Row],[SS_P]]+DATA[[#This Row],[SS_F]]),0)</f>
        <v>0</v>
      </c>
      <c r="W70" s="1">
        <f ca="1">COUNTIF(INDIRECT("'"&amp;DATA[[#This Row],[Client]]&amp;"'!$P$68:$P$79"),"Pass")</f>
        <v>0</v>
      </c>
      <c r="X70" s="17">
        <f ca="1">IFERROR(DATA[[#This Row],[B_P]]/(DATA[[#This Row],[B_P]]+DATA[[#This Row],[B_F]]),0)</f>
        <v>0</v>
      </c>
      <c r="Y70" s="1">
        <f ca="1">COUNTIF(INDIRECT("'"&amp;DATA[[#This Row],[Client]]&amp;"'!$P$68:$P$79"),"Fail")</f>
        <v>0</v>
      </c>
      <c r="Z70" s="17">
        <f ca="1">IFERROR(DATA[[#This Row],[B_F]]/(DATA[[#This Row],[B_P]]+DATA[[#This Row],[B_F]]),0)</f>
        <v>0</v>
      </c>
      <c r="AA70" s="25">
        <f ca="1">SUM(DATA[[#This Row],[A_P]],DATA[[#This Row],[A_F]],DATA[[#This Row],[PL_P]],DATA[[#This Row],[PL_F]],DATA[[#This Row],[PN_P]],DATA[[#This Row],[PN_F]],DATA[[#This Row],[OD_P]],DATA[[#This Row],[OD_F]],DATA[[#This Row],[SS_P]],DATA[[#This Row],[SS_F]],DATA[[#This Row],[B_P]],DATA[[#This Row],[B_F]])</f>
        <v>0</v>
      </c>
      <c r="AB70">
        <f ca="1">SUM(DATA[[#This Row],[A_P]],DATA[[#This Row],[PL_P]],DATA[[#This Row],[PN_P]],DATA[[#This Row],[OD_P]],DATA[[#This Row],[SS_P]],DATA[[#This Row],[B_P]])</f>
        <v>0</v>
      </c>
      <c r="AC70" s="27">
        <f ca="1">IFERROR(DATA[[#This Row],[Total_P]]/DATA[[#This Row],[Total]],0)</f>
        <v>0</v>
      </c>
      <c r="AD70">
        <f ca="1">SUM(DATA[[#This Row],[A_F]],DATA[[#This Row],[PL_F]],DATA[[#This Row],[PN_F]],DATA[[#This Row],[OD_F]],DATA[[#This Row],[SS_F]],DATA[[#This Row],[B_F]])</f>
        <v>0</v>
      </c>
      <c r="AE70" s="27">
        <f ca="1">IFERROR(DATA[[#This Row],[Total_F]]/DATA[[#This Row],[Total]],0)</f>
        <v>0</v>
      </c>
      <c r="AF70" s="1" t="str">
        <f ca="1">IF(DATA[[#This Row],[Total_P%]]&gt;0.9,"Yes","No")</f>
        <v>No</v>
      </c>
      <c r="AG70" s="24">
        <f>SUMIFS(H95:H694,N95:N694,"Yes",M95:M694,DATA[[#This Row],[Client]])</f>
        <v>0</v>
      </c>
      <c r="AH70" s="1">
        <f>COUNTIFS(N94:N693,"Yes",M94:M693,DATA[[#This Row],[Client]])</f>
        <v>0</v>
      </c>
      <c r="AI70" s="1">
        <f>COUNTIFS(I95:I694,"&lt;&gt;0",M95:M694,DATA[[#This Row],[Client]])</f>
        <v>0</v>
      </c>
      <c r="AJ70" s="1" t="e">
        <f>VLOOKUP(DATA[[#This Row],[Client]],#REF!,4,FALSE)</f>
        <v>#REF!</v>
      </c>
      <c r="AK70" s="1">
        <f ca="1">DATA[[#This Row],[A_P]]+DATA[[#This Row],[A_F]]</f>
        <v>0</v>
      </c>
      <c r="AL70" s="1">
        <f ca="1">DATA[[#This Row],[PL_P]]+DATA[[#This Row],[PL_F]]</f>
        <v>0</v>
      </c>
      <c r="AM70" s="1">
        <f ca="1">DATA[[#This Row],[PN_P]]+DATA[[#This Row],[PN_F]]</f>
        <v>0</v>
      </c>
      <c r="AN70" s="1">
        <f ca="1">DATA[[#This Row],[OD_P]]+DATA[[#This Row],[OD_F]]</f>
        <v>0</v>
      </c>
      <c r="AO70" s="1">
        <f ca="1">DATA[[#This Row],[SS_P]]+DATA[[#This Row],[SS_F]]</f>
        <v>0</v>
      </c>
      <c r="AP70" s="1">
        <f ca="1">DATA[[#This Row],[B_P]]+DATA[[#This Row],[B_F]]</f>
        <v>0</v>
      </c>
      <c r="AQ70" s="1"/>
    </row>
    <row r="71" spans="1:43" ht="15" x14ac:dyDescent="0.2">
      <c r="A71" s="6" t="s">
        <v>20</v>
      </c>
      <c r="B71" s="6" t="str">
        <f>VLOOKUP(DATA[[#This Row],[Client]],S101:T121,2,FALSE)</f>
        <v>No</v>
      </c>
      <c r="C71" s="1">
        <f ca="1">COUNTIF(INDIRECT("'"&amp;DATA[[#This Row],[Client]]&amp;"'!$p$9:$p$19"),"Pass")</f>
        <v>0</v>
      </c>
      <c r="D71" s="17">
        <f ca="1">IFERROR(DATA[[#This Row],[A_P]]/(DATA[[#This Row],[A_P]]+DATA[[#This Row],[A_F]]),0)</f>
        <v>0</v>
      </c>
      <c r="E71" s="1">
        <f ca="1">COUNTIF(INDIRECT("'"&amp;DATA[[#This Row],[Client]]&amp;"'!$p$9:$p$19"),"Fail")</f>
        <v>0</v>
      </c>
      <c r="F71" s="17">
        <f ca="1">IFERROR(DATA[[#This Row],[A_F]]/(DATA[[#This Row],[A_P]]+DATA[[#This Row],[A_F]]),0)</f>
        <v>0</v>
      </c>
      <c r="G71" s="1">
        <f ca="1">COUNTIF(INDIRECT("'"&amp;DATA[[#This Row],[Client]]&amp;"'!$P$24:$P$27"),"Pass")</f>
        <v>0</v>
      </c>
      <c r="H71" s="17">
        <f ca="1">IFERROR(DATA[[#This Row],[PL_P]]/(DATA[[#This Row],[PL_P]]+DATA[[#This Row],[PL_F]]),0)</f>
        <v>0</v>
      </c>
      <c r="I71" s="1">
        <f ca="1">COUNTIF(INDIRECT("'"&amp;DATA[[#This Row],[Client]]&amp;"'!$P$24:$P$27"),"Fail")</f>
        <v>0</v>
      </c>
      <c r="J71" s="17">
        <f ca="1">IFERROR(DATA[[#This Row],[PL_F]]/(DATA[[#This Row],[PL_P]]+DATA[[#This Row],[PL_F]]),0)</f>
        <v>0</v>
      </c>
      <c r="K71" s="1">
        <f ca="1">COUNTIF(INDIRECT("'"&amp;DATA[[#This Row],[Client]]&amp;"'!$P$32:$P$43"),"Pass")</f>
        <v>0</v>
      </c>
      <c r="L71" s="17">
        <f ca="1">IFERROR(DATA[[#This Row],[PN_P]]/(DATA[[#This Row],[PN_P]]+DATA[[#This Row],[PN_F]]),0)</f>
        <v>0</v>
      </c>
      <c r="M71" s="1">
        <f ca="1">COUNTIF(INDIRECT("'"&amp;DATA[[#This Row],[Client]]&amp;"'!$P$32:$P$43"),"Fail")</f>
        <v>0</v>
      </c>
      <c r="N71" s="17">
        <f ca="1">IFERROR(DATA[[#This Row],[PN_F]]/(DATA[[#This Row],[PN_P]]+DATA[[#This Row],[PN_F]]),0)</f>
        <v>0</v>
      </c>
      <c r="O71" s="1">
        <f ca="1">COUNTIF(INDIRECT("'"&amp;DATA[[#This Row],[Client]]&amp;"'!p48:$p$55"),"Pass")</f>
        <v>0</v>
      </c>
      <c r="P71" s="17">
        <f ca="1">IFERROR(DATA[[#This Row],[OD_P]]/(DATA[[#This Row],[OD_P]]+DATA[[#This Row],[OD_F]]),0)</f>
        <v>0</v>
      </c>
      <c r="Q71" s="1">
        <f ca="1">COUNTIF(INDIRECT("'"&amp;DATA[[#This Row],[Client]]&amp;"'!N48:$P$54"),"Fail")</f>
        <v>0</v>
      </c>
      <c r="R71" s="17">
        <f ca="1">IFERROR(DATA[[#This Row],[OD_F]]/(DATA[[#This Row],[OD_P]]+DATA[[#This Row],[OD_F]]),0)</f>
        <v>0</v>
      </c>
      <c r="S71" s="1">
        <f ca="1">COUNTIF(INDIRECT("'"&amp;DATA[[#This Row],[Client]]&amp;"'!$P$59:$P$63"),"Pass")</f>
        <v>0</v>
      </c>
      <c r="T71" s="17">
        <f ca="1">IFERROR(DATA[[#This Row],[SS_P]]/(DATA[[#This Row],[SS_P]]+DATA[[#This Row],[SS_F]]),0)</f>
        <v>0</v>
      </c>
      <c r="U71" s="1">
        <f ca="1">COUNTIF(INDIRECT("'"&amp;DATA[[#This Row],[Client]]&amp;"'!$P$59:$P$63"),"Fail")</f>
        <v>0</v>
      </c>
      <c r="V71" s="17">
        <f ca="1">IFERROR(DATA[[#This Row],[SS_F]]/(DATA[[#This Row],[SS_P]]+DATA[[#This Row],[SS_F]]),0)</f>
        <v>0</v>
      </c>
      <c r="W71" s="1">
        <f ca="1">COUNTIF(INDIRECT("'"&amp;DATA[[#This Row],[Client]]&amp;"'!$P$68:$P$79"),"Pass")</f>
        <v>0</v>
      </c>
      <c r="X71" s="17">
        <f ca="1">IFERROR(DATA[[#This Row],[B_P]]/(DATA[[#This Row],[B_P]]+DATA[[#This Row],[B_F]]),0)</f>
        <v>0</v>
      </c>
      <c r="Y71" s="1">
        <f ca="1">COUNTIF(INDIRECT("'"&amp;DATA[[#This Row],[Client]]&amp;"'!$P$68:$P$79"),"Fail")</f>
        <v>0</v>
      </c>
      <c r="Z71" s="17">
        <f ca="1">IFERROR(DATA[[#This Row],[B_F]]/(DATA[[#This Row],[B_P]]+DATA[[#This Row],[B_F]]),0)</f>
        <v>0</v>
      </c>
      <c r="AA71" s="25">
        <f ca="1">SUM(DATA[[#This Row],[A_P]],DATA[[#This Row],[A_F]],DATA[[#This Row],[PL_P]],DATA[[#This Row],[PL_F]],DATA[[#This Row],[PN_P]],DATA[[#This Row],[PN_F]],DATA[[#This Row],[OD_P]],DATA[[#This Row],[OD_F]],DATA[[#This Row],[SS_P]],DATA[[#This Row],[SS_F]],DATA[[#This Row],[B_P]],DATA[[#This Row],[B_F]])</f>
        <v>0</v>
      </c>
      <c r="AB71">
        <f ca="1">SUM(DATA[[#This Row],[A_P]],DATA[[#This Row],[PL_P]],DATA[[#This Row],[PN_P]],DATA[[#This Row],[OD_P]],DATA[[#This Row],[SS_P]],DATA[[#This Row],[B_P]])</f>
        <v>0</v>
      </c>
      <c r="AC71" s="27">
        <f ca="1">IFERROR(DATA[[#This Row],[Total_P]]/DATA[[#This Row],[Total]],0)</f>
        <v>0</v>
      </c>
      <c r="AD71">
        <f ca="1">SUM(DATA[[#This Row],[A_F]],DATA[[#This Row],[PL_F]],DATA[[#This Row],[PN_F]],DATA[[#This Row],[OD_F]],DATA[[#This Row],[SS_F]],DATA[[#This Row],[B_F]])</f>
        <v>0</v>
      </c>
      <c r="AE71" s="27">
        <f ca="1">IFERROR(DATA[[#This Row],[Total_F]]/DATA[[#This Row],[Total]],0)</f>
        <v>0</v>
      </c>
      <c r="AF71" s="1" t="str">
        <f ca="1">IF(DATA[[#This Row],[Total_P%]]&gt;0.9,"Yes","No")</f>
        <v>No</v>
      </c>
      <c r="AG71" s="24">
        <f>SUMIFS(H96:H695,N96:N695,"Yes",M96:M695,DATA[[#This Row],[Client]])</f>
        <v>0</v>
      </c>
      <c r="AH71" s="1">
        <f>COUNTIFS(N95:N694,"Yes",M95:M694,DATA[[#This Row],[Client]])</f>
        <v>0</v>
      </c>
      <c r="AI71" s="1">
        <f>COUNTIFS(I96:I695,"&lt;&gt;0",M96:M695,DATA[[#This Row],[Client]])</f>
        <v>0</v>
      </c>
      <c r="AJ71" s="1" t="e">
        <f>VLOOKUP(DATA[[#This Row],[Client]],#REF!,4,FALSE)</f>
        <v>#REF!</v>
      </c>
      <c r="AK71" s="1">
        <f ca="1">DATA[[#This Row],[A_P]]+DATA[[#This Row],[A_F]]</f>
        <v>0</v>
      </c>
      <c r="AL71" s="1">
        <f ca="1">DATA[[#This Row],[PL_P]]+DATA[[#This Row],[PL_F]]</f>
        <v>0</v>
      </c>
      <c r="AM71" s="1">
        <f ca="1">DATA[[#This Row],[PN_P]]+DATA[[#This Row],[PN_F]]</f>
        <v>0</v>
      </c>
      <c r="AN71" s="1">
        <f ca="1">DATA[[#This Row],[OD_P]]+DATA[[#This Row],[OD_F]]</f>
        <v>0</v>
      </c>
      <c r="AO71" s="1">
        <f ca="1">DATA[[#This Row],[SS_P]]+DATA[[#This Row],[SS_F]]</f>
        <v>0</v>
      </c>
      <c r="AP71" s="1">
        <f ca="1">DATA[[#This Row],[B_P]]+DATA[[#This Row],[B_F]]</f>
        <v>0</v>
      </c>
      <c r="AQ71" s="1"/>
    </row>
    <row r="72" spans="1:43" ht="15" x14ac:dyDescent="0.2">
      <c r="A72" s="6" t="s">
        <v>21</v>
      </c>
      <c r="B72" s="6" t="str">
        <f>VLOOKUP(DATA[[#This Row],[Client]],S102:T122,2,FALSE)</f>
        <v>No</v>
      </c>
      <c r="C72" s="1">
        <f ca="1">COUNTIF(INDIRECT("'"&amp;DATA[[#This Row],[Client]]&amp;"'!$p$9:$p$19"),"Pass")</f>
        <v>0</v>
      </c>
      <c r="D72" s="17">
        <f ca="1">IFERROR(DATA[[#This Row],[A_P]]/(DATA[[#This Row],[A_P]]+DATA[[#This Row],[A_F]]),0)</f>
        <v>0</v>
      </c>
      <c r="E72" s="1">
        <f ca="1">COUNTIF(INDIRECT("'"&amp;DATA[[#This Row],[Client]]&amp;"'!$p$9:$p$19"),"Fail")</f>
        <v>0</v>
      </c>
      <c r="F72" s="17">
        <f ca="1">IFERROR(DATA[[#This Row],[A_F]]/(DATA[[#This Row],[A_P]]+DATA[[#This Row],[A_F]]),0)</f>
        <v>0</v>
      </c>
      <c r="G72" s="1">
        <f ca="1">COUNTIF(INDIRECT("'"&amp;DATA[[#This Row],[Client]]&amp;"'!$P$24:$P$27"),"Pass")</f>
        <v>0</v>
      </c>
      <c r="H72" s="17">
        <f ca="1">IFERROR(DATA[[#This Row],[PL_P]]/(DATA[[#This Row],[PL_P]]+DATA[[#This Row],[PL_F]]),0)</f>
        <v>0</v>
      </c>
      <c r="I72" s="1">
        <f ca="1">COUNTIF(INDIRECT("'"&amp;DATA[[#This Row],[Client]]&amp;"'!$P$24:$P$27"),"Fail")</f>
        <v>0</v>
      </c>
      <c r="J72" s="17">
        <f ca="1">IFERROR(DATA[[#This Row],[PL_F]]/(DATA[[#This Row],[PL_P]]+DATA[[#This Row],[PL_F]]),0)</f>
        <v>0</v>
      </c>
      <c r="K72" s="1">
        <f ca="1">COUNTIF(INDIRECT("'"&amp;DATA[[#This Row],[Client]]&amp;"'!$P$32:$P$43"),"Pass")</f>
        <v>0</v>
      </c>
      <c r="L72" s="17">
        <f ca="1">IFERROR(DATA[[#This Row],[PN_P]]/(DATA[[#This Row],[PN_P]]+DATA[[#This Row],[PN_F]]),0)</f>
        <v>0</v>
      </c>
      <c r="M72" s="1">
        <f ca="1">COUNTIF(INDIRECT("'"&amp;DATA[[#This Row],[Client]]&amp;"'!$P$32:$P$43"),"Fail")</f>
        <v>0</v>
      </c>
      <c r="N72" s="17">
        <f ca="1">IFERROR(DATA[[#This Row],[PN_F]]/(DATA[[#This Row],[PN_P]]+DATA[[#This Row],[PN_F]]),0)</f>
        <v>0</v>
      </c>
      <c r="O72" s="1">
        <f ca="1">COUNTIF(INDIRECT("'"&amp;DATA[[#This Row],[Client]]&amp;"'!p48:$p$55"),"Pass")</f>
        <v>0</v>
      </c>
      <c r="P72" s="17">
        <f ca="1">IFERROR(DATA[[#This Row],[OD_P]]/(DATA[[#This Row],[OD_P]]+DATA[[#This Row],[OD_F]]),0)</f>
        <v>0</v>
      </c>
      <c r="Q72" s="1">
        <f ca="1">COUNTIF(INDIRECT("'"&amp;DATA[[#This Row],[Client]]&amp;"'!N48:$P$54"),"Fail")</f>
        <v>0</v>
      </c>
      <c r="R72" s="17">
        <f ca="1">IFERROR(DATA[[#This Row],[OD_F]]/(DATA[[#This Row],[OD_P]]+DATA[[#This Row],[OD_F]]),0)</f>
        <v>0</v>
      </c>
      <c r="S72" s="1">
        <f ca="1">COUNTIF(INDIRECT("'"&amp;DATA[[#This Row],[Client]]&amp;"'!$P$59:$P$63"),"Pass")</f>
        <v>0</v>
      </c>
      <c r="T72" s="17">
        <f ca="1">IFERROR(DATA[[#This Row],[SS_P]]/(DATA[[#This Row],[SS_P]]+DATA[[#This Row],[SS_F]]),0)</f>
        <v>0</v>
      </c>
      <c r="U72" s="1">
        <f ca="1">COUNTIF(INDIRECT("'"&amp;DATA[[#This Row],[Client]]&amp;"'!$P$59:$P$63"),"Fail")</f>
        <v>0</v>
      </c>
      <c r="V72" s="17">
        <f ca="1">IFERROR(DATA[[#This Row],[SS_F]]/(DATA[[#This Row],[SS_P]]+DATA[[#This Row],[SS_F]]),0)</f>
        <v>0</v>
      </c>
      <c r="W72" s="1">
        <f ca="1">COUNTIF(INDIRECT("'"&amp;DATA[[#This Row],[Client]]&amp;"'!$P$68:$P$79"),"Pass")</f>
        <v>0</v>
      </c>
      <c r="X72" s="17">
        <f ca="1">IFERROR(DATA[[#This Row],[B_P]]/(DATA[[#This Row],[B_P]]+DATA[[#This Row],[B_F]]),0)</f>
        <v>0</v>
      </c>
      <c r="Y72" s="1">
        <f ca="1">COUNTIF(INDIRECT("'"&amp;DATA[[#This Row],[Client]]&amp;"'!$P$68:$P$79"),"Fail")</f>
        <v>0</v>
      </c>
      <c r="Z72" s="17">
        <f ca="1">IFERROR(DATA[[#This Row],[B_F]]/(DATA[[#This Row],[B_P]]+DATA[[#This Row],[B_F]]),0)</f>
        <v>0</v>
      </c>
      <c r="AA72" s="25">
        <f ca="1">SUM(DATA[[#This Row],[A_P]],DATA[[#This Row],[A_F]],DATA[[#This Row],[PL_P]],DATA[[#This Row],[PL_F]],DATA[[#This Row],[PN_P]],DATA[[#This Row],[PN_F]],DATA[[#This Row],[OD_P]],DATA[[#This Row],[OD_F]],DATA[[#This Row],[SS_P]],DATA[[#This Row],[SS_F]],DATA[[#This Row],[B_P]],DATA[[#This Row],[B_F]])</f>
        <v>0</v>
      </c>
      <c r="AB72">
        <f ca="1">SUM(DATA[[#This Row],[A_P]],DATA[[#This Row],[PL_P]],DATA[[#This Row],[PN_P]],DATA[[#This Row],[OD_P]],DATA[[#This Row],[SS_P]],DATA[[#This Row],[B_P]])</f>
        <v>0</v>
      </c>
      <c r="AC72" s="27">
        <f ca="1">IFERROR(DATA[[#This Row],[Total_P]]/DATA[[#This Row],[Total]],0)</f>
        <v>0</v>
      </c>
      <c r="AD72">
        <f ca="1">SUM(DATA[[#This Row],[A_F]],DATA[[#This Row],[PL_F]],DATA[[#This Row],[PN_F]],DATA[[#This Row],[OD_F]],DATA[[#This Row],[SS_F]],DATA[[#This Row],[B_F]])</f>
        <v>0</v>
      </c>
      <c r="AE72" s="27">
        <f ca="1">IFERROR(DATA[[#This Row],[Total_F]]/DATA[[#This Row],[Total]],0)</f>
        <v>0</v>
      </c>
      <c r="AF72" s="1" t="str">
        <f ca="1">IF(DATA[[#This Row],[Total_P%]]&gt;0.9,"Yes","No")</f>
        <v>No</v>
      </c>
      <c r="AG72" s="24">
        <f>SUMIFS(H97:H696,N97:N696,"Yes",M97:M696,DATA[[#This Row],[Client]])</f>
        <v>0</v>
      </c>
      <c r="AH72" s="1">
        <f>COUNTIFS(N96:N695,"Yes",M96:M695,DATA[[#This Row],[Client]])</f>
        <v>0</v>
      </c>
      <c r="AI72" s="1">
        <f>COUNTIFS(I97:I696,"&lt;&gt;0",M97:M696,DATA[[#This Row],[Client]])</f>
        <v>0</v>
      </c>
      <c r="AJ72" s="1" t="e">
        <f>VLOOKUP(DATA[[#This Row],[Client]],#REF!,4,FALSE)</f>
        <v>#REF!</v>
      </c>
      <c r="AK72" s="1">
        <f ca="1">DATA[[#This Row],[A_P]]+DATA[[#This Row],[A_F]]</f>
        <v>0</v>
      </c>
      <c r="AL72" s="1">
        <f ca="1">DATA[[#This Row],[PL_P]]+DATA[[#This Row],[PL_F]]</f>
        <v>0</v>
      </c>
      <c r="AM72" s="1">
        <f ca="1">DATA[[#This Row],[PN_P]]+DATA[[#This Row],[PN_F]]</f>
        <v>0</v>
      </c>
      <c r="AN72" s="1">
        <f ca="1">DATA[[#This Row],[OD_P]]+DATA[[#This Row],[OD_F]]</f>
        <v>0</v>
      </c>
      <c r="AO72" s="1">
        <f ca="1">DATA[[#This Row],[SS_P]]+DATA[[#This Row],[SS_F]]</f>
        <v>0</v>
      </c>
      <c r="AP72" s="1">
        <f ca="1">DATA[[#This Row],[B_P]]+DATA[[#This Row],[B_F]]</f>
        <v>0</v>
      </c>
      <c r="AQ72" s="1"/>
    </row>
    <row r="73" spans="1:43" ht="15" x14ac:dyDescent="0.2">
      <c r="A73" s="6" t="s">
        <v>22</v>
      </c>
      <c r="B73" s="6" t="str">
        <f>VLOOKUP(DATA[[#This Row],[Client]],S103:T123,2,FALSE)</f>
        <v>No</v>
      </c>
      <c r="C73" s="1">
        <f ca="1">COUNTIF(INDIRECT("'"&amp;DATA[[#This Row],[Client]]&amp;"'!$p$9:$p$19"),"Pass")</f>
        <v>0</v>
      </c>
      <c r="D73" s="17">
        <f ca="1">IFERROR(DATA[[#This Row],[A_P]]/(DATA[[#This Row],[A_P]]+DATA[[#This Row],[A_F]]),0)</f>
        <v>0</v>
      </c>
      <c r="E73" s="1">
        <f ca="1">COUNTIF(INDIRECT("'"&amp;DATA[[#This Row],[Client]]&amp;"'!$p$9:$p$19"),"Fail")</f>
        <v>0</v>
      </c>
      <c r="F73" s="17">
        <f ca="1">IFERROR(DATA[[#This Row],[A_F]]/(DATA[[#This Row],[A_P]]+DATA[[#This Row],[A_F]]),0)</f>
        <v>0</v>
      </c>
      <c r="G73" s="1">
        <f ca="1">COUNTIF(INDIRECT("'"&amp;DATA[[#This Row],[Client]]&amp;"'!$P$24:$P$27"),"Pass")</f>
        <v>0</v>
      </c>
      <c r="H73" s="17">
        <f ca="1">IFERROR(DATA[[#This Row],[PL_P]]/(DATA[[#This Row],[PL_P]]+DATA[[#This Row],[PL_F]]),0)</f>
        <v>0</v>
      </c>
      <c r="I73" s="1">
        <f ca="1">COUNTIF(INDIRECT("'"&amp;DATA[[#This Row],[Client]]&amp;"'!$P$24:$P$27"),"Fail")</f>
        <v>0</v>
      </c>
      <c r="J73" s="17">
        <f ca="1">IFERROR(DATA[[#This Row],[PL_F]]/(DATA[[#This Row],[PL_P]]+DATA[[#This Row],[PL_F]]),0)</f>
        <v>0</v>
      </c>
      <c r="K73" s="1">
        <f ca="1">COUNTIF(INDIRECT("'"&amp;DATA[[#This Row],[Client]]&amp;"'!$P$32:$P$43"),"Pass")</f>
        <v>0</v>
      </c>
      <c r="L73" s="17">
        <f ca="1">IFERROR(DATA[[#This Row],[PN_P]]/(DATA[[#This Row],[PN_P]]+DATA[[#This Row],[PN_F]]),0)</f>
        <v>0</v>
      </c>
      <c r="M73" s="1">
        <f ca="1">COUNTIF(INDIRECT("'"&amp;DATA[[#This Row],[Client]]&amp;"'!$P$32:$P$43"),"Fail")</f>
        <v>0</v>
      </c>
      <c r="N73" s="17">
        <f ca="1">IFERROR(DATA[[#This Row],[PN_F]]/(DATA[[#This Row],[PN_P]]+DATA[[#This Row],[PN_F]]),0)</f>
        <v>0</v>
      </c>
      <c r="O73" s="1">
        <f ca="1">COUNTIF(INDIRECT("'"&amp;DATA[[#This Row],[Client]]&amp;"'!p48:$p$55"),"Pass")</f>
        <v>0</v>
      </c>
      <c r="P73" s="17">
        <f ca="1">IFERROR(DATA[[#This Row],[OD_P]]/(DATA[[#This Row],[OD_P]]+DATA[[#This Row],[OD_F]]),0)</f>
        <v>0</v>
      </c>
      <c r="Q73" s="1">
        <f ca="1">COUNTIF(INDIRECT("'"&amp;DATA[[#This Row],[Client]]&amp;"'!N48:$P$54"),"Fail")</f>
        <v>0</v>
      </c>
      <c r="R73" s="17">
        <f ca="1">IFERROR(DATA[[#This Row],[OD_F]]/(DATA[[#This Row],[OD_P]]+DATA[[#This Row],[OD_F]]),0)</f>
        <v>0</v>
      </c>
      <c r="S73" s="1">
        <f ca="1">COUNTIF(INDIRECT("'"&amp;DATA[[#This Row],[Client]]&amp;"'!$P$59:$P$63"),"Pass")</f>
        <v>0</v>
      </c>
      <c r="T73" s="17">
        <f ca="1">IFERROR(DATA[[#This Row],[SS_P]]/(DATA[[#This Row],[SS_P]]+DATA[[#This Row],[SS_F]]),0)</f>
        <v>0</v>
      </c>
      <c r="U73" s="1">
        <f ca="1">COUNTIF(INDIRECT("'"&amp;DATA[[#This Row],[Client]]&amp;"'!$P$59:$P$63"),"Fail")</f>
        <v>0</v>
      </c>
      <c r="V73" s="17">
        <f ca="1">IFERROR(DATA[[#This Row],[SS_F]]/(DATA[[#This Row],[SS_P]]+DATA[[#This Row],[SS_F]]),0)</f>
        <v>0</v>
      </c>
      <c r="W73" s="1">
        <f ca="1">COUNTIF(INDIRECT("'"&amp;DATA[[#This Row],[Client]]&amp;"'!$P$68:$P$79"),"Pass")</f>
        <v>0</v>
      </c>
      <c r="X73" s="17">
        <f ca="1">IFERROR(DATA[[#This Row],[B_P]]/(DATA[[#This Row],[B_P]]+DATA[[#This Row],[B_F]]),0)</f>
        <v>0</v>
      </c>
      <c r="Y73" s="1">
        <f ca="1">COUNTIF(INDIRECT("'"&amp;DATA[[#This Row],[Client]]&amp;"'!$P$68:$P$79"),"Fail")</f>
        <v>0</v>
      </c>
      <c r="Z73" s="17">
        <f ca="1">IFERROR(DATA[[#This Row],[B_F]]/(DATA[[#This Row],[B_P]]+DATA[[#This Row],[B_F]]),0)</f>
        <v>0</v>
      </c>
      <c r="AA73" s="25">
        <f ca="1">SUM(DATA[[#This Row],[A_P]],DATA[[#This Row],[A_F]],DATA[[#This Row],[PL_P]],DATA[[#This Row],[PL_F]],DATA[[#This Row],[PN_P]],DATA[[#This Row],[PN_F]],DATA[[#This Row],[OD_P]],DATA[[#This Row],[OD_F]],DATA[[#This Row],[SS_P]],DATA[[#This Row],[SS_F]],DATA[[#This Row],[B_P]],DATA[[#This Row],[B_F]])</f>
        <v>0</v>
      </c>
      <c r="AB73">
        <f ca="1">SUM(DATA[[#This Row],[A_P]],DATA[[#This Row],[PL_P]],DATA[[#This Row],[PN_P]],DATA[[#This Row],[OD_P]],DATA[[#This Row],[SS_P]],DATA[[#This Row],[B_P]])</f>
        <v>0</v>
      </c>
      <c r="AC73" s="27">
        <f ca="1">IFERROR(DATA[[#This Row],[Total_P]]/DATA[[#This Row],[Total]],0)</f>
        <v>0</v>
      </c>
      <c r="AD73">
        <f ca="1">SUM(DATA[[#This Row],[A_F]],DATA[[#This Row],[PL_F]],DATA[[#This Row],[PN_F]],DATA[[#This Row],[OD_F]],DATA[[#This Row],[SS_F]],DATA[[#This Row],[B_F]])</f>
        <v>0</v>
      </c>
      <c r="AE73" s="27">
        <f ca="1">IFERROR(DATA[[#This Row],[Total_F]]/DATA[[#This Row],[Total]],0)</f>
        <v>0</v>
      </c>
      <c r="AF73" s="1" t="str">
        <f ca="1">IF(DATA[[#This Row],[Total_P%]]&gt;0.9,"Yes","No")</f>
        <v>No</v>
      </c>
      <c r="AG73" s="24">
        <f>SUMIFS(H98:H697,N98:N697,"Yes",M98:M697,DATA[[#This Row],[Client]])</f>
        <v>0</v>
      </c>
      <c r="AH73" s="1">
        <f>COUNTIFS(N97:N696,"Yes",M97:M696,DATA[[#This Row],[Client]])</f>
        <v>0</v>
      </c>
      <c r="AI73" s="1">
        <f>COUNTIFS(I98:I697,"&lt;&gt;0",M98:M697,DATA[[#This Row],[Client]])</f>
        <v>0</v>
      </c>
      <c r="AJ73" s="1" t="e">
        <f>VLOOKUP(DATA[[#This Row],[Client]],#REF!,4,FALSE)</f>
        <v>#REF!</v>
      </c>
      <c r="AK73" s="1">
        <f ca="1">DATA[[#This Row],[A_P]]+DATA[[#This Row],[A_F]]</f>
        <v>0</v>
      </c>
      <c r="AL73" s="1">
        <f ca="1">DATA[[#This Row],[PL_P]]+DATA[[#This Row],[PL_F]]</f>
        <v>0</v>
      </c>
      <c r="AM73" s="1">
        <f ca="1">DATA[[#This Row],[PN_P]]+DATA[[#This Row],[PN_F]]</f>
        <v>0</v>
      </c>
      <c r="AN73" s="1">
        <f ca="1">DATA[[#This Row],[OD_P]]+DATA[[#This Row],[OD_F]]</f>
        <v>0</v>
      </c>
      <c r="AO73" s="1">
        <f ca="1">DATA[[#This Row],[SS_P]]+DATA[[#This Row],[SS_F]]</f>
        <v>0</v>
      </c>
      <c r="AP73" s="1">
        <f ca="1">DATA[[#This Row],[B_P]]+DATA[[#This Row],[B_F]]</f>
        <v>0</v>
      </c>
      <c r="AQ73" s="1"/>
    </row>
    <row r="74" spans="1:43" ht="15" x14ac:dyDescent="0.2">
      <c r="A74" s="6" t="s">
        <v>23</v>
      </c>
      <c r="B74" s="6" t="str">
        <f>VLOOKUP(DATA[[#This Row],[Client]],S104:T124,2,FALSE)</f>
        <v>No</v>
      </c>
      <c r="C74" s="1">
        <f ca="1">COUNTIF(INDIRECT("'"&amp;DATA[[#This Row],[Client]]&amp;"'!$p$9:$p$19"),"Pass")</f>
        <v>0</v>
      </c>
      <c r="D74" s="17">
        <f ca="1">IFERROR(DATA[[#This Row],[A_P]]/(DATA[[#This Row],[A_P]]+DATA[[#This Row],[A_F]]),0)</f>
        <v>0</v>
      </c>
      <c r="E74" s="1">
        <f ca="1">COUNTIF(INDIRECT("'"&amp;DATA[[#This Row],[Client]]&amp;"'!$p$9:$p$19"),"Fail")</f>
        <v>0</v>
      </c>
      <c r="F74" s="17">
        <f ca="1">IFERROR(DATA[[#This Row],[A_F]]/(DATA[[#This Row],[A_P]]+DATA[[#This Row],[A_F]]),0)</f>
        <v>0</v>
      </c>
      <c r="G74" s="1">
        <f ca="1">COUNTIF(INDIRECT("'"&amp;DATA[[#This Row],[Client]]&amp;"'!$P$24:$P$27"),"Pass")</f>
        <v>0</v>
      </c>
      <c r="H74" s="17">
        <f ca="1">IFERROR(DATA[[#This Row],[PL_P]]/(DATA[[#This Row],[PL_P]]+DATA[[#This Row],[PL_F]]),0)</f>
        <v>0</v>
      </c>
      <c r="I74" s="1">
        <f ca="1">COUNTIF(INDIRECT("'"&amp;DATA[[#This Row],[Client]]&amp;"'!$P$24:$P$27"),"Fail")</f>
        <v>0</v>
      </c>
      <c r="J74" s="17">
        <f ca="1">IFERROR(DATA[[#This Row],[PL_F]]/(DATA[[#This Row],[PL_P]]+DATA[[#This Row],[PL_F]]),0)</f>
        <v>0</v>
      </c>
      <c r="K74" s="1">
        <f ca="1">COUNTIF(INDIRECT("'"&amp;DATA[[#This Row],[Client]]&amp;"'!$P$32:$P$43"),"Pass")</f>
        <v>0</v>
      </c>
      <c r="L74" s="17">
        <f ca="1">IFERROR(DATA[[#This Row],[PN_P]]/(DATA[[#This Row],[PN_P]]+DATA[[#This Row],[PN_F]]),0)</f>
        <v>0</v>
      </c>
      <c r="M74" s="1">
        <f ca="1">COUNTIF(INDIRECT("'"&amp;DATA[[#This Row],[Client]]&amp;"'!$P$32:$P$43"),"Fail")</f>
        <v>0</v>
      </c>
      <c r="N74" s="17">
        <f ca="1">IFERROR(DATA[[#This Row],[PN_F]]/(DATA[[#This Row],[PN_P]]+DATA[[#This Row],[PN_F]]),0)</f>
        <v>0</v>
      </c>
      <c r="O74" s="1">
        <f ca="1">COUNTIF(INDIRECT("'"&amp;DATA[[#This Row],[Client]]&amp;"'!p48:$p$55"),"Pass")</f>
        <v>0</v>
      </c>
      <c r="P74" s="17">
        <f ca="1">IFERROR(DATA[[#This Row],[OD_P]]/(DATA[[#This Row],[OD_P]]+DATA[[#This Row],[OD_F]]),0)</f>
        <v>0</v>
      </c>
      <c r="Q74" s="1">
        <f ca="1">COUNTIF(INDIRECT("'"&amp;DATA[[#This Row],[Client]]&amp;"'!N48:$P$54"),"Fail")</f>
        <v>0</v>
      </c>
      <c r="R74" s="17">
        <f ca="1">IFERROR(DATA[[#This Row],[OD_F]]/(DATA[[#This Row],[OD_P]]+DATA[[#This Row],[OD_F]]),0)</f>
        <v>0</v>
      </c>
      <c r="S74" s="1">
        <f ca="1">COUNTIF(INDIRECT("'"&amp;DATA[[#This Row],[Client]]&amp;"'!$P$59:$P$63"),"Pass")</f>
        <v>0</v>
      </c>
      <c r="T74" s="17">
        <f ca="1">IFERROR(DATA[[#This Row],[SS_P]]/(DATA[[#This Row],[SS_P]]+DATA[[#This Row],[SS_F]]),0)</f>
        <v>0</v>
      </c>
      <c r="U74" s="1">
        <f ca="1">COUNTIF(INDIRECT("'"&amp;DATA[[#This Row],[Client]]&amp;"'!$P$59:$P$63"),"Fail")</f>
        <v>0</v>
      </c>
      <c r="V74" s="17">
        <f ca="1">IFERROR(DATA[[#This Row],[SS_F]]/(DATA[[#This Row],[SS_P]]+DATA[[#This Row],[SS_F]]),0)</f>
        <v>0</v>
      </c>
      <c r="W74" s="1">
        <f ca="1">COUNTIF(INDIRECT("'"&amp;DATA[[#This Row],[Client]]&amp;"'!$P$68:$P$79"),"Pass")</f>
        <v>0</v>
      </c>
      <c r="X74" s="17">
        <f ca="1">IFERROR(DATA[[#This Row],[B_P]]/(DATA[[#This Row],[B_P]]+DATA[[#This Row],[B_F]]),0)</f>
        <v>0</v>
      </c>
      <c r="Y74" s="1">
        <f ca="1">COUNTIF(INDIRECT("'"&amp;DATA[[#This Row],[Client]]&amp;"'!$P$68:$P$79"),"Fail")</f>
        <v>0</v>
      </c>
      <c r="Z74" s="17">
        <f ca="1">IFERROR(DATA[[#This Row],[B_F]]/(DATA[[#This Row],[B_P]]+DATA[[#This Row],[B_F]]),0)</f>
        <v>0</v>
      </c>
      <c r="AA74" s="25">
        <f ca="1">SUM(DATA[[#This Row],[A_P]],DATA[[#This Row],[A_F]],DATA[[#This Row],[PL_P]],DATA[[#This Row],[PL_F]],DATA[[#This Row],[PN_P]],DATA[[#This Row],[PN_F]],DATA[[#This Row],[OD_P]],DATA[[#This Row],[OD_F]],DATA[[#This Row],[SS_P]],DATA[[#This Row],[SS_F]],DATA[[#This Row],[B_P]],DATA[[#This Row],[B_F]])</f>
        <v>0</v>
      </c>
      <c r="AB74">
        <f ca="1">SUM(DATA[[#This Row],[A_P]],DATA[[#This Row],[PL_P]],DATA[[#This Row],[PN_P]],DATA[[#This Row],[OD_P]],DATA[[#This Row],[SS_P]],DATA[[#This Row],[B_P]])</f>
        <v>0</v>
      </c>
      <c r="AC74" s="27">
        <f ca="1">IFERROR(DATA[[#This Row],[Total_P]]/DATA[[#This Row],[Total]],0)</f>
        <v>0</v>
      </c>
      <c r="AD74">
        <f ca="1">SUM(DATA[[#This Row],[A_F]],DATA[[#This Row],[PL_F]],DATA[[#This Row],[PN_F]],DATA[[#This Row],[OD_F]],DATA[[#This Row],[SS_F]],DATA[[#This Row],[B_F]])</f>
        <v>0</v>
      </c>
      <c r="AE74" s="27">
        <f ca="1">IFERROR(DATA[[#This Row],[Total_F]]/DATA[[#This Row],[Total]],0)</f>
        <v>0</v>
      </c>
      <c r="AF74" s="1" t="str">
        <f ca="1">IF(DATA[[#This Row],[Total_P%]]&gt;0.9,"Yes","No")</f>
        <v>No</v>
      </c>
      <c r="AG74" s="24">
        <f>SUMIFS(H99:H698,N99:N698,"Yes",M99:M698,DATA[[#This Row],[Client]])</f>
        <v>0</v>
      </c>
      <c r="AH74" s="1">
        <f>COUNTIFS(N98:N697,"Yes",M98:M697,DATA[[#This Row],[Client]])</f>
        <v>0</v>
      </c>
      <c r="AI74" s="1">
        <f>COUNTIFS(I99:I698,"&lt;&gt;0",M99:M698,DATA[[#This Row],[Client]])</f>
        <v>0</v>
      </c>
      <c r="AJ74" s="1" t="e">
        <f>VLOOKUP(DATA[[#This Row],[Client]],#REF!,4,FALSE)</f>
        <v>#REF!</v>
      </c>
      <c r="AK74" s="1">
        <f ca="1">DATA[[#This Row],[A_P]]+DATA[[#This Row],[A_F]]</f>
        <v>0</v>
      </c>
      <c r="AL74" s="1">
        <f ca="1">DATA[[#This Row],[PL_P]]+DATA[[#This Row],[PL_F]]</f>
        <v>0</v>
      </c>
      <c r="AM74" s="1">
        <f ca="1">DATA[[#This Row],[PN_P]]+DATA[[#This Row],[PN_F]]</f>
        <v>0</v>
      </c>
      <c r="AN74" s="1">
        <f ca="1">DATA[[#This Row],[OD_P]]+DATA[[#This Row],[OD_F]]</f>
        <v>0</v>
      </c>
      <c r="AO74" s="1">
        <f ca="1">DATA[[#This Row],[SS_P]]+DATA[[#This Row],[SS_F]]</f>
        <v>0</v>
      </c>
      <c r="AP74" s="1">
        <f ca="1">DATA[[#This Row],[B_P]]+DATA[[#This Row],[B_F]]</f>
        <v>0</v>
      </c>
      <c r="AQ74" s="1"/>
    </row>
    <row r="75" spans="1:43" ht="15" x14ac:dyDescent="0.2">
      <c r="A75" s="6" t="s">
        <v>24</v>
      </c>
      <c r="B75" s="6" t="str">
        <f>VLOOKUP(DATA[[#This Row],[Client]],S105:T125,2,FALSE)</f>
        <v>No</v>
      </c>
      <c r="C75" s="1">
        <f ca="1">COUNTIF(INDIRECT("'"&amp;DATA[[#This Row],[Client]]&amp;"'!$p$9:$p$19"),"Pass")</f>
        <v>0</v>
      </c>
      <c r="D75" s="17">
        <f ca="1">IFERROR(DATA[[#This Row],[A_P]]/(DATA[[#This Row],[A_P]]+DATA[[#This Row],[A_F]]),0)</f>
        <v>0</v>
      </c>
      <c r="E75" s="1">
        <f ca="1">COUNTIF(INDIRECT("'"&amp;DATA[[#This Row],[Client]]&amp;"'!$p$9:$p$19"),"Fail")</f>
        <v>0</v>
      </c>
      <c r="F75" s="17">
        <f ca="1">IFERROR(DATA[[#This Row],[A_F]]/(DATA[[#This Row],[A_P]]+DATA[[#This Row],[A_F]]),0)</f>
        <v>0</v>
      </c>
      <c r="G75" s="1">
        <f ca="1">COUNTIF(INDIRECT("'"&amp;DATA[[#This Row],[Client]]&amp;"'!$P$24:$P$27"),"Pass")</f>
        <v>0</v>
      </c>
      <c r="H75" s="17">
        <f ca="1">IFERROR(DATA[[#This Row],[PL_P]]/(DATA[[#This Row],[PL_P]]+DATA[[#This Row],[PL_F]]),0)</f>
        <v>0</v>
      </c>
      <c r="I75" s="1">
        <f ca="1">COUNTIF(INDIRECT("'"&amp;DATA[[#This Row],[Client]]&amp;"'!$P$24:$P$27"),"Fail")</f>
        <v>0</v>
      </c>
      <c r="J75" s="17">
        <f ca="1">IFERROR(DATA[[#This Row],[PL_F]]/(DATA[[#This Row],[PL_P]]+DATA[[#This Row],[PL_F]]),0)</f>
        <v>0</v>
      </c>
      <c r="K75" s="1">
        <f ca="1">COUNTIF(INDIRECT("'"&amp;DATA[[#This Row],[Client]]&amp;"'!$P$32:$P$43"),"Pass")</f>
        <v>0</v>
      </c>
      <c r="L75" s="17">
        <f ca="1">IFERROR(DATA[[#This Row],[PN_P]]/(DATA[[#This Row],[PN_P]]+DATA[[#This Row],[PN_F]]),0)</f>
        <v>0</v>
      </c>
      <c r="M75" s="1">
        <f ca="1">COUNTIF(INDIRECT("'"&amp;DATA[[#This Row],[Client]]&amp;"'!$P$32:$P$43"),"Fail")</f>
        <v>0</v>
      </c>
      <c r="N75" s="17">
        <f ca="1">IFERROR(DATA[[#This Row],[PN_F]]/(DATA[[#This Row],[PN_P]]+DATA[[#This Row],[PN_F]]),0)</f>
        <v>0</v>
      </c>
      <c r="O75" s="1">
        <f ca="1">COUNTIF(INDIRECT("'"&amp;DATA[[#This Row],[Client]]&amp;"'!p48:$p$55"),"Pass")</f>
        <v>0</v>
      </c>
      <c r="P75" s="17">
        <f ca="1">IFERROR(DATA[[#This Row],[OD_P]]/(DATA[[#This Row],[OD_P]]+DATA[[#This Row],[OD_F]]),0)</f>
        <v>0</v>
      </c>
      <c r="Q75" s="1">
        <f ca="1">COUNTIF(INDIRECT("'"&amp;DATA[[#This Row],[Client]]&amp;"'!N48:$P$54"),"Fail")</f>
        <v>0</v>
      </c>
      <c r="R75" s="17">
        <f ca="1">IFERROR(DATA[[#This Row],[OD_F]]/(DATA[[#This Row],[OD_P]]+DATA[[#This Row],[OD_F]]),0)</f>
        <v>0</v>
      </c>
      <c r="S75" s="1">
        <f ca="1">COUNTIF(INDIRECT("'"&amp;DATA[[#This Row],[Client]]&amp;"'!$P$59:$P$63"),"Pass")</f>
        <v>0</v>
      </c>
      <c r="T75" s="17">
        <f ca="1">IFERROR(DATA[[#This Row],[SS_P]]/(DATA[[#This Row],[SS_P]]+DATA[[#This Row],[SS_F]]),0)</f>
        <v>0</v>
      </c>
      <c r="U75" s="1">
        <f ca="1">COUNTIF(INDIRECT("'"&amp;DATA[[#This Row],[Client]]&amp;"'!$P$59:$P$63"),"Fail")</f>
        <v>0</v>
      </c>
      <c r="V75" s="17">
        <f ca="1">IFERROR(DATA[[#This Row],[SS_F]]/(DATA[[#This Row],[SS_P]]+DATA[[#This Row],[SS_F]]),0)</f>
        <v>0</v>
      </c>
      <c r="W75" s="1">
        <f ca="1">COUNTIF(INDIRECT("'"&amp;DATA[[#This Row],[Client]]&amp;"'!$P$68:$P$79"),"Pass")</f>
        <v>0</v>
      </c>
      <c r="X75" s="17">
        <f ca="1">IFERROR(DATA[[#This Row],[B_P]]/(DATA[[#This Row],[B_P]]+DATA[[#This Row],[B_F]]),0)</f>
        <v>0</v>
      </c>
      <c r="Y75" s="1">
        <f ca="1">COUNTIF(INDIRECT("'"&amp;DATA[[#This Row],[Client]]&amp;"'!$P$68:$P$79"),"Fail")</f>
        <v>0</v>
      </c>
      <c r="Z75" s="17">
        <f ca="1">IFERROR(DATA[[#This Row],[B_F]]/(DATA[[#This Row],[B_P]]+DATA[[#This Row],[B_F]]),0)</f>
        <v>0</v>
      </c>
      <c r="AA75" s="25">
        <f ca="1">SUM(DATA[[#This Row],[A_P]],DATA[[#This Row],[A_F]],DATA[[#This Row],[PL_P]],DATA[[#This Row],[PL_F]],DATA[[#This Row],[PN_P]],DATA[[#This Row],[PN_F]],DATA[[#This Row],[OD_P]],DATA[[#This Row],[OD_F]],DATA[[#This Row],[SS_P]],DATA[[#This Row],[SS_F]],DATA[[#This Row],[B_P]],DATA[[#This Row],[B_F]])</f>
        <v>0</v>
      </c>
      <c r="AB75">
        <f ca="1">SUM(DATA[[#This Row],[A_P]],DATA[[#This Row],[PL_P]],DATA[[#This Row],[PN_P]],DATA[[#This Row],[OD_P]],DATA[[#This Row],[SS_P]],DATA[[#This Row],[B_P]])</f>
        <v>0</v>
      </c>
      <c r="AC75" s="27">
        <f ca="1">IFERROR(DATA[[#This Row],[Total_P]]/DATA[[#This Row],[Total]],0)</f>
        <v>0</v>
      </c>
      <c r="AD75">
        <f ca="1">SUM(DATA[[#This Row],[A_F]],DATA[[#This Row],[PL_F]],DATA[[#This Row],[PN_F]],DATA[[#This Row],[OD_F]],DATA[[#This Row],[SS_F]],DATA[[#This Row],[B_F]])</f>
        <v>0</v>
      </c>
      <c r="AE75" s="27">
        <f ca="1">IFERROR(DATA[[#This Row],[Total_F]]/DATA[[#This Row],[Total]],0)</f>
        <v>0</v>
      </c>
      <c r="AF75" s="1" t="str">
        <f ca="1">IF(DATA[[#This Row],[Total_P%]]&gt;0.9,"Yes","No")</f>
        <v>No</v>
      </c>
      <c r="AG75" s="24">
        <f>SUMIFS(H100:H699,N100:N699,"Yes",M100:M699,DATA[[#This Row],[Client]])</f>
        <v>0</v>
      </c>
      <c r="AH75" s="1">
        <f>COUNTIFS(N99:N698,"Yes",M99:M698,DATA[[#This Row],[Client]])</f>
        <v>0</v>
      </c>
      <c r="AI75" s="1">
        <f>COUNTIFS(I100:I699,"&lt;&gt;0",M100:M699,DATA[[#This Row],[Client]])</f>
        <v>0</v>
      </c>
      <c r="AJ75" s="1" t="e">
        <f>VLOOKUP(DATA[[#This Row],[Client]],#REF!,4,FALSE)</f>
        <v>#REF!</v>
      </c>
      <c r="AK75" s="1">
        <f ca="1">DATA[[#This Row],[A_P]]+DATA[[#This Row],[A_F]]</f>
        <v>0</v>
      </c>
      <c r="AL75" s="1">
        <f ca="1">DATA[[#This Row],[PL_P]]+DATA[[#This Row],[PL_F]]</f>
        <v>0</v>
      </c>
      <c r="AM75" s="1">
        <f ca="1">DATA[[#This Row],[PN_P]]+DATA[[#This Row],[PN_F]]</f>
        <v>0</v>
      </c>
      <c r="AN75" s="1">
        <f ca="1">DATA[[#This Row],[OD_P]]+DATA[[#This Row],[OD_F]]</f>
        <v>0</v>
      </c>
      <c r="AO75" s="1">
        <f ca="1">DATA[[#This Row],[SS_P]]+DATA[[#This Row],[SS_F]]</f>
        <v>0</v>
      </c>
      <c r="AP75" s="1">
        <f ca="1">DATA[[#This Row],[B_P]]+DATA[[#This Row],[B_F]]</f>
        <v>0</v>
      </c>
      <c r="AQ75" s="1"/>
    </row>
    <row r="76" spans="1:43" ht="15" x14ac:dyDescent="0.2">
      <c r="A76" s="6" t="s">
        <v>25</v>
      </c>
      <c r="B76" s="6" t="str">
        <f>VLOOKUP(DATA[[#This Row],[Client]],S106:T126,2,FALSE)</f>
        <v>No</v>
      </c>
      <c r="C76" s="1">
        <f ca="1">COUNTIF(INDIRECT("'"&amp;DATA[[#This Row],[Client]]&amp;"'!$p$9:$p$19"),"Pass")</f>
        <v>0</v>
      </c>
      <c r="D76" s="17">
        <f ca="1">IFERROR(DATA[[#This Row],[A_P]]/(DATA[[#This Row],[A_P]]+DATA[[#This Row],[A_F]]),0)</f>
        <v>0</v>
      </c>
      <c r="E76" s="1">
        <f ca="1">COUNTIF(INDIRECT("'"&amp;DATA[[#This Row],[Client]]&amp;"'!$p$9:$p$19"),"Fail")</f>
        <v>0</v>
      </c>
      <c r="F76" s="17">
        <f ca="1">IFERROR(DATA[[#This Row],[A_F]]/(DATA[[#This Row],[A_P]]+DATA[[#This Row],[A_F]]),0)</f>
        <v>0</v>
      </c>
      <c r="G76" s="1">
        <f ca="1">COUNTIF(INDIRECT("'"&amp;DATA[[#This Row],[Client]]&amp;"'!$P$24:$P$27"),"Pass")</f>
        <v>0</v>
      </c>
      <c r="H76" s="17">
        <f ca="1">IFERROR(DATA[[#This Row],[PL_P]]/(DATA[[#This Row],[PL_P]]+DATA[[#This Row],[PL_F]]),0)</f>
        <v>0</v>
      </c>
      <c r="I76" s="1">
        <f ca="1">COUNTIF(INDIRECT("'"&amp;DATA[[#This Row],[Client]]&amp;"'!$P$24:$P$27"),"Fail")</f>
        <v>0</v>
      </c>
      <c r="J76" s="17">
        <f ca="1">IFERROR(DATA[[#This Row],[PL_F]]/(DATA[[#This Row],[PL_P]]+DATA[[#This Row],[PL_F]]),0)</f>
        <v>0</v>
      </c>
      <c r="K76" s="1">
        <f ca="1">COUNTIF(INDIRECT("'"&amp;DATA[[#This Row],[Client]]&amp;"'!$P$32:$P$43"),"Pass")</f>
        <v>0</v>
      </c>
      <c r="L76" s="17">
        <f ca="1">IFERROR(DATA[[#This Row],[PN_P]]/(DATA[[#This Row],[PN_P]]+DATA[[#This Row],[PN_F]]),0)</f>
        <v>0</v>
      </c>
      <c r="M76" s="1">
        <f ca="1">COUNTIF(INDIRECT("'"&amp;DATA[[#This Row],[Client]]&amp;"'!$P$32:$P$43"),"Fail")</f>
        <v>0</v>
      </c>
      <c r="N76" s="17">
        <f ca="1">IFERROR(DATA[[#This Row],[PN_F]]/(DATA[[#This Row],[PN_P]]+DATA[[#This Row],[PN_F]]),0)</f>
        <v>0</v>
      </c>
      <c r="O76" s="1">
        <f ca="1">COUNTIF(INDIRECT("'"&amp;DATA[[#This Row],[Client]]&amp;"'!p48:$p$55"),"Pass")</f>
        <v>0</v>
      </c>
      <c r="P76" s="17">
        <f ca="1">IFERROR(DATA[[#This Row],[OD_P]]/(DATA[[#This Row],[OD_P]]+DATA[[#This Row],[OD_F]]),0)</f>
        <v>0</v>
      </c>
      <c r="Q76" s="1">
        <f ca="1">COUNTIF(INDIRECT("'"&amp;DATA[[#This Row],[Client]]&amp;"'!N48:$P$54"),"Fail")</f>
        <v>0</v>
      </c>
      <c r="R76" s="17">
        <f ca="1">IFERROR(DATA[[#This Row],[OD_F]]/(DATA[[#This Row],[OD_P]]+DATA[[#This Row],[OD_F]]),0)</f>
        <v>0</v>
      </c>
      <c r="S76" s="1">
        <f ca="1">COUNTIF(INDIRECT("'"&amp;DATA[[#This Row],[Client]]&amp;"'!$P$59:$P$63"),"Pass")</f>
        <v>0</v>
      </c>
      <c r="T76" s="17">
        <f ca="1">IFERROR(DATA[[#This Row],[SS_P]]/(DATA[[#This Row],[SS_P]]+DATA[[#This Row],[SS_F]]),0)</f>
        <v>0</v>
      </c>
      <c r="U76" s="1">
        <f ca="1">COUNTIF(INDIRECT("'"&amp;DATA[[#This Row],[Client]]&amp;"'!$P$59:$P$63"),"Fail")</f>
        <v>0</v>
      </c>
      <c r="V76" s="17">
        <f ca="1">IFERROR(DATA[[#This Row],[SS_F]]/(DATA[[#This Row],[SS_P]]+DATA[[#This Row],[SS_F]]),0)</f>
        <v>0</v>
      </c>
      <c r="W76" s="1">
        <f ca="1">COUNTIF(INDIRECT("'"&amp;DATA[[#This Row],[Client]]&amp;"'!$P$68:$P$79"),"Pass")</f>
        <v>0</v>
      </c>
      <c r="X76" s="17">
        <f ca="1">IFERROR(DATA[[#This Row],[B_P]]/(DATA[[#This Row],[B_P]]+DATA[[#This Row],[B_F]]),0)</f>
        <v>0</v>
      </c>
      <c r="Y76" s="1">
        <f ca="1">COUNTIF(INDIRECT("'"&amp;DATA[[#This Row],[Client]]&amp;"'!$P$68:$P$79"),"Fail")</f>
        <v>0</v>
      </c>
      <c r="Z76" s="17">
        <f ca="1">IFERROR(DATA[[#This Row],[B_F]]/(DATA[[#This Row],[B_P]]+DATA[[#This Row],[B_F]]),0)</f>
        <v>0</v>
      </c>
      <c r="AA76" s="25">
        <f ca="1">SUM(DATA[[#This Row],[A_P]],DATA[[#This Row],[A_F]],DATA[[#This Row],[PL_P]],DATA[[#This Row],[PL_F]],DATA[[#This Row],[PN_P]],DATA[[#This Row],[PN_F]],DATA[[#This Row],[OD_P]],DATA[[#This Row],[OD_F]],DATA[[#This Row],[SS_P]],DATA[[#This Row],[SS_F]],DATA[[#This Row],[B_P]],DATA[[#This Row],[B_F]])</f>
        <v>0</v>
      </c>
      <c r="AB76">
        <f ca="1">SUM(DATA[[#This Row],[A_P]],DATA[[#This Row],[PL_P]],DATA[[#This Row],[PN_P]],DATA[[#This Row],[OD_P]],DATA[[#This Row],[SS_P]],DATA[[#This Row],[B_P]])</f>
        <v>0</v>
      </c>
      <c r="AC76" s="27">
        <f ca="1">IFERROR(DATA[[#This Row],[Total_P]]/DATA[[#This Row],[Total]],0)</f>
        <v>0</v>
      </c>
      <c r="AD76">
        <f ca="1">SUM(DATA[[#This Row],[A_F]],DATA[[#This Row],[PL_F]],DATA[[#This Row],[PN_F]],DATA[[#This Row],[OD_F]],DATA[[#This Row],[SS_F]],DATA[[#This Row],[B_F]])</f>
        <v>0</v>
      </c>
      <c r="AE76" s="27">
        <f ca="1">IFERROR(DATA[[#This Row],[Total_F]]/DATA[[#This Row],[Total]],0)</f>
        <v>0</v>
      </c>
      <c r="AF76" s="1" t="str">
        <f ca="1">IF(DATA[[#This Row],[Total_P%]]&gt;0.9,"Yes","No")</f>
        <v>No</v>
      </c>
      <c r="AG76" s="24">
        <f>SUMIFS(H101:H700,N101:N700,"Yes",M101:M700,DATA[[#This Row],[Client]])</f>
        <v>0</v>
      </c>
      <c r="AH76" s="1">
        <f>COUNTIFS(N100:N699,"Yes",M100:M699,DATA[[#This Row],[Client]])</f>
        <v>0</v>
      </c>
      <c r="AI76" s="1">
        <f>COUNTIFS(I101:I700,"&lt;&gt;0",M101:M700,DATA[[#This Row],[Client]])</f>
        <v>0</v>
      </c>
      <c r="AJ76" s="1" t="e">
        <f>VLOOKUP(DATA[[#This Row],[Client]],#REF!,4,FALSE)</f>
        <v>#REF!</v>
      </c>
      <c r="AK76" s="1">
        <f ca="1">DATA[[#This Row],[A_P]]+DATA[[#This Row],[A_F]]</f>
        <v>0</v>
      </c>
      <c r="AL76" s="1">
        <f ca="1">DATA[[#This Row],[PL_P]]+DATA[[#This Row],[PL_F]]</f>
        <v>0</v>
      </c>
      <c r="AM76" s="1">
        <f ca="1">DATA[[#This Row],[PN_P]]+DATA[[#This Row],[PN_F]]</f>
        <v>0</v>
      </c>
      <c r="AN76" s="1">
        <f ca="1">DATA[[#This Row],[OD_P]]+DATA[[#This Row],[OD_F]]</f>
        <v>0</v>
      </c>
      <c r="AO76" s="1">
        <f ca="1">DATA[[#This Row],[SS_P]]+DATA[[#This Row],[SS_F]]</f>
        <v>0</v>
      </c>
      <c r="AP76" s="1">
        <f ca="1">DATA[[#This Row],[B_P]]+DATA[[#This Row],[B_F]]</f>
        <v>0</v>
      </c>
      <c r="AQ76" s="1"/>
    </row>
    <row r="77" spans="1:43" ht="15" x14ac:dyDescent="0.2">
      <c r="A77" s="6" t="s">
        <v>26</v>
      </c>
      <c r="B77" s="6" t="str">
        <f>VLOOKUP(DATA[[#This Row],[Client]],S107:T127,2,FALSE)</f>
        <v>No</v>
      </c>
      <c r="C77" s="1">
        <f ca="1">COUNTIF(INDIRECT("'"&amp;DATA[[#This Row],[Client]]&amp;"'!$p$9:$p$19"),"Pass")</f>
        <v>0</v>
      </c>
      <c r="D77" s="17">
        <f ca="1">IFERROR(DATA[[#This Row],[A_P]]/(DATA[[#This Row],[A_P]]+DATA[[#This Row],[A_F]]),0)</f>
        <v>0</v>
      </c>
      <c r="E77" s="1">
        <f ca="1">COUNTIF(INDIRECT("'"&amp;DATA[[#This Row],[Client]]&amp;"'!$p$9:$p$19"),"Fail")</f>
        <v>0</v>
      </c>
      <c r="F77" s="17">
        <f ca="1">IFERROR(DATA[[#This Row],[A_F]]/(DATA[[#This Row],[A_P]]+DATA[[#This Row],[A_F]]),0)</f>
        <v>0</v>
      </c>
      <c r="G77" s="1">
        <f ca="1">COUNTIF(INDIRECT("'"&amp;DATA[[#This Row],[Client]]&amp;"'!$P$24:$P$27"),"Pass")</f>
        <v>0</v>
      </c>
      <c r="H77" s="17">
        <f ca="1">IFERROR(DATA[[#This Row],[PL_P]]/(DATA[[#This Row],[PL_P]]+DATA[[#This Row],[PL_F]]),0)</f>
        <v>0</v>
      </c>
      <c r="I77" s="1">
        <f ca="1">COUNTIF(INDIRECT("'"&amp;DATA[[#This Row],[Client]]&amp;"'!$P$24:$P$27"),"Fail")</f>
        <v>0</v>
      </c>
      <c r="J77" s="17">
        <f ca="1">IFERROR(DATA[[#This Row],[PL_F]]/(DATA[[#This Row],[PL_P]]+DATA[[#This Row],[PL_F]]),0)</f>
        <v>0</v>
      </c>
      <c r="K77" s="1">
        <f ca="1">COUNTIF(INDIRECT("'"&amp;DATA[[#This Row],[Client]]&amp;"'!$P$32:$P$43"),"Pass")</f>
        <v>0</v>
      </c>
      <c r="L77" s="17">
        <f ca="1">IFERROR(DATA[[#This Row],[PN_P]]/(DATA[[#This Row],[PN_P]]+DATA[[#This Row],[PN_F]]),0)</f>
        <v>0</v>
      </c>
      <c r="M77" s="1">
        <f ca="1">COUNTIF(INDIRECT("'"&amp;DATA[[#This Row],[Client]]&amp;"'!$P$32:$P$43"),"Fail")</f>
        <v>0</v>
      </c>
      <c r="N77" s="17">
        <f ca="1">IFERROR(DATA[[#This Row],[PN_F]]/(DATA[[#This Row],[PN_P]]+DATA[[#This Row],[PN_F]]),0)</f>
        <v>0</v>
      </c>
      <c r="O77" s="1">
        <f ca="1">COUNTIF(INDIRECT("'"&amp;DATA[[#This Row],[Client]]&amp;"'!p48:$p$55"),"Pass")</f>
        <v>0</v>
      </c>
      <c r="P77" s="17">
        <f ca="1">IFERROR(DATA[[#This Row],[OD_P]]/(DATA[[#This Row],[OD_P]]+DATA[[#This Row],[OD_F]]),0)</f>
        <v>0</v>
      </c>
      <c r="Q77" s="1">
        <f ca="1">COUNTIF(INDIRECT("'"&amp;DATA[[#This Row],[Client]]&amp;"'!N48:$P$54"),"Fail")</f>
        <v>0</v>
      </c>
      <c r="R77" s="17">
        <f ca="1">IFERROR(DATA[[#This Row],[OD_F]]/(DATA[[#This Row],[OD_P]]+DATA[[#This Row],[OD_F]]),0)</f>
        <v>0</v>
      </c>
      <c r="S77" s="1">
        <f ca="1">COUNTIF(INDIRECT("'"&amp;DATA[[#This Row],[Client]]&amp;"'!$P$59:$P$63"),"Pass")</f>
        <v>0</v>
      </c>
      <c r="T77" s="17">
        <f ca="1">IFERROR(DATA[[#This Row],[SS_P]]/(DATA[[#This Row],[SS_P]]+DATA[[#This Row],[SS_F]]),0)</f>
        <v>0</v>
      </c>
      <c r="U77" s="1">
        <f ca="1">COUNTIF(INDIRECT("'"&amp;DATA[[#This Row],[Client]]&amp;"'!$P$59:$P$63"),"Fail")</f>
        <v>0</v>
      </c>
      <c r="V77" s="17">
        <f ca="1">IFERROR(DATA[[#This Row],[SS_F]]/(DATA[[#This Row],[SS_P]]+DATA[[#This Row],[SS_F]]),0)</f>
        <v>0</v>
      </c>
      <c r="W77" s="1">
        <f ca="1">COUNTIF(INDIRECT("'"&amp;DATA[[#This Row],[Client]]&amp;"'!$P$68:$P$79"),"Pass")</f>
        <v>0</v>
      </c>
      <c r="X77" s="17">
        <f ca="1">IFERROR(DATA[[#This Row],[B_P]]/(DATA[[#This Row],[B_P]]+DATA[[#This Row],[B_F]]),0)</f>
        <v>0</v>
      </c>
      <c r="Y77" s="1">
        <f ca="1">COUNTIF(INDIRECT("'"&amp;DATA[[#This Row],[Client]]&amp;"'!$P$68:$P$79"),"Fail")</f>
        <v>0</v>
      </c>
      <c r="Z77" s="17">
        <f ca="1">IFERROR(DATA[[#This Row],[B_F]]/(DATA[[#This Row],[B_P]]+DATA[[#This Row],[B_F]]),0)</f>
        <v>0</v>
      </c>
      <c r="AA77" s="25">
        <f ca="1">SUM(DATA[[#This Row],[A_P]],DATA[[#This Row],[A_F]],DATA[[#This Row],[PL_P]],DATA[[#This Row],[PL_F]],DATA[[#This Row],[PN_P]],DATA[[#This Row],[PN_F]],DATA[[#This Row],[OD_P]],DATA[[#This Row],[OD_F]],DATA[[#This Row],[SS_P]],DATA[[#This Row],[SS_F]],DATA[[#This Row],[B_P]],DATA[[#This Row],[B_F]])</f>
        <v>0</v>
      </c>
      <c r="AB77">
        <f ca="1">SUM(DATA[[#This Row],[A_P]],DATA[[#This Row],[PL_P]],DATA[[#This Row],[PN_P]],DATA[[#This Row],[OD_P]],DATA[[#This Row],[SS_P]],DATA[[#This Row],[B_P]])</f>
        <v>0</v>
      </c>
      <c r="AC77" s="27">
        <f ca="1">IFERROR(DATA[[#This Row],[Total_P]]/DATA[[#This Row],[Total]],0)</f>
        <v>0</v>
      </c>
      <c r="AD77">
        <f ca="1">SUM(DATA[[#This Row],[A_F]],DATA[[#This Row],[PL_F]],DATA[[#This Row],[PN_F]],DATA[[#This Row],[OD_F]],DATA[[#This Row],[SS_F]],DATA[[#This Row],[B_F]])</f>
        <v>0</v>
      </c>
      <c r="AE77" s="27">
        <f ca="1">IFERROR(DATA[[#This Row],[Total_F]]/DATA[[#This Row],[Total]],0)</f>
        <v>0</v>
      </c>
      <c r="AF77" s="1" t="str">
        <f ca="1">IF(DATA[[#This Row],[Total_P%]]&gt;0.9,"Yes","No")</f>
        <v>No</v>
      </c>
      <c r="AG77" s="24">
        <f>SUMIFS(H102:H701,N102:N701,"Yes",M102:M701,DATA[[#This Row],[Client]])</f>
        <v>0</v>
      </c>
      <c r="AH77" s="1">
        <f>COUNTIFS(N101:N700,"Yes",M101:M700,DATA[[#This Row],[Client]])</f>
        <v>0</v>
      </c>
      <c r="AI77" s="1">
        <f>COUNTIFS(I102:I701,"&lt;&gt;0",M102:M701,DATA[[#This Row],[Client]])</f>
        <v>0</v>
      </c>
      <c r="AJ77" s="1" t="e">
        <f>VLOOKUP(DATA[[#This Row],[Client]],#REF!,4,FALSE)</f>
        <v>#REF!</v>
      </c>
      <c r="AK77" s="1">
        <f ca="1">DATA[[#This Row],[A_P]]+DATA[[#This Row],[A_F]]</f>
        <v>0</v>
      </c>
      <c r="AL77" s="1">
        <f ca="1">DATA[[#This Row],[PL_P]]+DATA[[#This Row],[PL_F]]</f>
        <v>0</v>
      </c>
      <c r="AM77" s="1">
        <f ca="1">DATA[[#This Row],[PN_P]]+DATA[[#This Row],[PN_F]]</f>
        <v>0</v>
      </c>
      <c r="AN77" s="1">
        <f ca="1">DATA[[#This Row],[OD_P]]+DATA[[#This Row],[OD_F]]</f>
        <v>0</v>
      </c>
      <c r="AO77" s="1">
        <f ca="1">DATA[[#This Row],[SS_P]]+DATA[[#This Row],[SS_F]]</f>
        <v>0</v>
      </c>
      <c r="AP77" s="1">
        <f ca="1">DATA[[#This Row],[B_P]]+DATA[[#This Row],[B_F]]</f>
        <v>0</v>
      </c>
      <c r="AQ77" s="1"/>
    </row>
    <row r="78" spans="1:43" ht="15" x14ac:dyDescent="0.2">
      <c r="A78" s="6" t="s">
        <v>27</v>
      </c>
      <c r="B78" s="6" t="str">
        <f>VLOOKUP(DATA[[#This Row],[Client]],S108:T128,2,FALSE)</f>
        <v>No</v>
      </c>
      <c r="C78" s="1">
        <f ca="1">COUNTIF(INDIRECT("'"&amp;DATA[[#This Row],[Client]]&amp;"'!$p$9:$p$19"),"Pass")</f>
        <v>0</v>
      </c>
      <c r="D78" s="17">
        <f ca="1">IFERROR(DATA[[#This Row],[A_P]]/(DATA[[#This Row],[A_P]]+DATA[[#This Row],[A_F]]),0)</f>
        <v>0</v>
      </c>
      <c r="E78" s="1">
        <f ca="1">COUNTIF(INDIRECT("'"&amp;DATA[[#This Row],[Client]]&amp;"'!$p$9:$p$19"),"Fail")</f>
        <v>0</v>
      </c>
      <c r="F78" s="17">
        <f ca="1">IFERROR(DATA[[#This Row],[A_F]]/(DATA[[#This Row],[A_P]]+DATA[[#This Row],[A_F]]),0)</f>
        <v>0</v>
      </c>
      <c r="G78" s="1">
        <f ca="1">COUNTIF(INDIRECT("'"&amp;DATA[[#This Row],[Client]]&amp;"'!$P$24:$P$27"),"Pass")</f>
        <v>0</v>
      </c>
      <c r="H78" s="17">
        <f ca="1">IFERROR(DATA[[#This Row],[PL_P]]/(DATA[[#This Row],[PL_P]]+DATA[[#This Row],[PL_F]]),0)</f>
        <v>0</v>
      </c>
      <c r="I78" s="1">
        <f ca="1">COUNTIF(INDIRECT("'"&amp;DATA[[#This Row],[Client]]&amp;"'!$P$24:$P$27"),"Fail")</f>
        <v>0</v>
      </c>
      <c r="J78" s="17">
        <f ca="1">IFERROR(DATA[[#This Row],[PL_F]]/(DATA[[#This Row],[PL_P]]+DATA[[#This Row],[PL_F]]),0)</f>
        <v>0</v>
      </c>
      <c r="K78" s="1">
        <f ca="1">COUNTIF(INDIRECT("'"&amp;DATA[[#This Row],[Client]]&amp;"'!$P$32:$P$43"),"Pass")</f>
        <v>0</v>
      </c>
      <c r="L78" s="17">
        <f ca="1">IFERROR(DATA[[#This Row],[PN_P]]/(DATA[[#This Row],[PN_P]]+DATA[[#This Row],[PN_F]]),0)</f>
        <v>0</v>
      </c>
      <c r="M78" s="1">
        <f ca="1">COUNTIF(INDIRECT("'"&amp;DATA[[#This Row],[Client]]&amp;"'!$P$32:$P$43"),"Fail")</f>
        <v>0</v>
      </c>
      <c r="N78" s="17">
        <f ca="1">IFERROR(DATA[[#This Row],[PN_F]]/(DATA[[#This Row],[PN_P]]+DATA[[#This Row],[PN_F]]),0)</f>
        <v>0</v>
      </c>
      <c r="O78" s="1">
        <f ca="1">COUNTIF(INDIRECT("'"&amp;DATA[[#This Row],[Client]]&amp;"'!p48:$p$55"),"Pass")</f>
        <v>0</v>
      </c>
      <c r="P78" s="17">
        <f ca="1">IFERROR(DATA[[#This Row],[OD_P]]/(DATA[[#This Row],[OD_P]]+DATA[[#This Row],[OD_F]]),0)</f>
        <v>0</v>
      </c>
      <c r="Q78" s="1">
        <f ca="1">COUNTIF(INDIRECT("'"&amp;DATA[[#This Row],[Client]]&amp;"'!N48:$P$54"),"Fail")</f>
        <v>0</v>
      </c>
      <c r="R78" s="17">
        <f ca="1">IFERROR(DATA[[#This Row],[OD_F]]/(DATA[[#This Row],[OD_P]]+DATA[[#This Row],[OD_F]]),0)</f>
        <v>0</v>
      </c>
      <c r="S78" s="1">
        <f ca="1">COUNTIF(INDIRECT("'"&amp;DATA[[#This Row],[Client]]&amp;"'!$P$59:$P$63"),"Pass")</f>
        <v>0</v>
      </c>
      <c r="T78" s="17">
        <f ca="1">IFERROR(DATA[[#This Row],[SS_P]]/(DATA[[#This Row],[SS_P]]+DATA[[#This Row],[SS_F]]),0)</f>
        <v>0</v>
      </c>
      <c r="U78" s="1">
        <f ca="1">COUNTIF(INDIRECT("'"&amp;DATA[[#This Row],[Client]]&amp;"'!$P$59:$P$63"),"Fail")</f>
        <v>0</v>
      </c>
      <c r="V78" s="17">
        <f ca="1">IFERROR(DATA[[#This Row],[SS_F]]/(DATA[[#This Row],[SS_P]]+DATA[[#This Row],[SS_F]]),0)</f>
        <v>0</v>
      </c>
      <c r="W78" s="1">
        <f ca="1">COUNTIF(INDIRECT("'"&amp;DATA[[#This Row],[Client]]&amp;"'!$P$68:$P$79"),"Pass")</f>
        <v>0</v>
      </c>
      <c r="X78" s="17">
        <f ca="1">IFERROR(DATA[[#This Row],[B_P]]/(DATA[[#This Row],[B_P]]+DATA[[#This Row],[B_F]]),0)</f>
        <v>0</v>
      </c>
      <c r="Y78" s="1">
        <f ca="1">COUNTIF(INDIRECT("'"&amp;DATA[[#This Row],[Client]]&amp;"'!$P$68:$P$79"),"Fail")</f>
        <v>0</v>
      </c>
      <c r="Z78" s="17">
        <f ca="1">IFERROR(DATA[[#This Row],[B_F]]/(DATA[[#This Row],[B_P]]+DATA[[#This Row],[B_F]]),0)</f>
        <v>0</v>
      </c>
      <c r="AA78" s="25">
        <f ca="1">SUM(DATA[[#This Row],[A_P]],DATA[[#This Row],[A_F]],DATA[[#This Row],[PL_P]],DATA[[#This Row],[PL_F]],DATA[[#This Row],[PN_P]],DATA[[#This Row],[PN_F]],DATA[[#This Row],[OD_P]],DATA[[#This Row],[OD_F]],DATA[[#This Row],[SS_P]],DATA[[#This Row],[SS_F]],DATA[[#This Row],[B_P]],DATA[[#This Row],[B_F]])</f>
        <v>0</v>
      </c>
      <c r="AB78">
        <f ca="1">SUM(DATA[[#This Row],[A_P]],DATA[[#This Row],[PL_P]],DATA[[#This Row],[PN_P]],DATA[[#This Row],[OD_P]],DATA[[#This Row],[SS_P]],DATA[[#This Row],[B_P]])</f>
        <v>0</v>
      </c>
      <c r="AC78" s="27">
        <f ca="1">IFERROR(DATA[[#This Row],[Total_P]]/DATA[[#This Row],[Total]],0)</f>
        <v>0</v>
      </c>
      <c r="AD78">
        <f ca="1">SUM(DATA[[#This Row],[A_F]],DATA[[#This Row],[PL_F]],DATA[[#This Row],[PN_F]],DATA[[#This Row],[OD_F]],DATA[[#This Row],[SS_F]],DATA[[#This Row],[B_F]])</f>
        <v>0</v>
      </c>
      <c r="AE78" s="27">
        <f ca="1">IFERROR(DATA[[#This Row],[Total_F]]/DATA[[#This Row],[Total]],0)</f>
        <v>0</v>
      </c>
      <c r="AF78" s="1" t="str">
        <f ca="1">IF(DATA[[#This Row],[Total_P%]]&gt;0.9,"Yes","No")</f>
        <v>No</v>
      </c>
      <c r="AG78" s="24">
        <f>SUMIFS(H103:H702,N103:N702,"Yes",M103:M702,DATA[[#This Row],[Client]])</f>
        <v>0</v>
      </c>
      <c r="AH78" s="1">
        <f>COUNTIFS(N102:N701,"Yes",M102:M701,DATA[[#This Row],[Client]])</f>
        <v>0</v>
      </c>
      <c r="AI78" s="1">
        <f>COUNTIFS(I103:I702,"&lt;&gt;0",M103:M702,DATA[[#This Row],[Client]])</f>
        <v>0</v>
      </c>
      <c r="AJ78" s="1" t="e">
        <f>VLOOKUP(DATA[[#This Row],[Client]],#REF!,4,FALSE)</f>
        <v>#REF!</v>
      </c>
      <c r="AK78" s="1">
        <f ca="1">DATA[[#This Row],[A_P]]+DATA[[#This Row],[A_F]]</f>
        <v>0</v>
      </c>
      <c r="AL78" s="1">
        <f ca="1">DATA[[#This Row],[PL_P]]+DATA[[#This Row],[PL_F]]</f>
        <v>0</v>
      </c>
      <c r="AM78" s="1">
        <f ca="1">DATA[[#This Row],[PN_P]]+DATA[[#This Row],[PN_F]]</f>
        <v>0</v>
      </c>
      <c r="AN78" s="1">
        <f ca="1">DATA[[#This Row],[OD_P]]+DATA[[#This Row],[OD_F]]</f>
        <v>0</v>
      </c>
      <c r="AO78" s="1">
        <f ca="1">DATA[[#This Row],[SS_P]]+DATA[[#This Row],[SS_F]]</f>
        <v>0</v>
      </c>
      <c r="AP78" s="1">
        <f ca="1">DATA[[#This Row],[B_P]]+DATA[[#This Row],[B_F]]</f>
        <v>0</v>
      </c>
      <c r="AQ78" s="1"/>
    </row>
    <row r="79" spans="1:43" ht="15" x14ac:dyDescent="0.2">
      <c r="A79" s="6" t="s">
        <v>28</v>
      </c>
      <c r="B79" s="6" t="str">
        <f>VLOOKUP(DATA[[#This Row],[Client]],S109:T129,2,FALSE)</f>
        <v>No</v>
      </c>
      <c r="C79" s="1">
        <f ca="1">COUNTIF(INDIRECT("'"&amp;DATA[[#This Row],[Client]]&amp;"'!$p$9:$p$19"),"Pass")</f>
        <v>0</v>
      </c>
      <c r="D79" s="17">
        <f ca="1">IFERROR(DATA[[#This Row],[A_P]]/(DATA[[#This Row],[A_P]]+DATA[[#This Row],[A_F]]),0)</f>
        <v>0</v>
      </c>
      <c r="E79" s="1">
        <f ca="1">COUNTIF(INDIRECT("'"&amp;DATA[[#This Row],[Client]]&amp;"'!$p$9:$p$19"),"Fail")</f>
        <v>0</v>
      </c>
      <c r="F79" s="17">
        <f ca="1">IFERROR(DATA[[#This Row],[A_F]]/(DATA[[#This Row],[A_P]]+DATA[[#This Row],[A_F]]),0)</f>
        <v>0</v>
      </c>
      <c r="G79" s="1">
        <f ca="1">COUNTIF(INDIRECT("'"&amp;DATA[[#This Row],[Client]]&amp;"'!$P$24:$P$27"),"Pass")</f>
        <v>0</v>
      </c>
      <c r="H79" s="17">
        <f ca="1">IFERROR(DATA[[#This Row],[PL_P]]/(DATA[[#This Row],[PL_P]]+DATA[[#This Row],[PL_F]]),0)</f>
        <v>0</v>
      </c>
      <c r="I79" s="1">
        <f ca="1">COUNTIF(INDIRECT("'"&amp;DATA[[#This Row],[Client]]&amp;"'!$P$24:$P$27"),"Fail")</f>
        <v>0</v>
      </c>
      <c r="J79" s="17">
        <f ca="1">IFERROR(DATA[[#This Row],[PL_F]]/(DATA[[#This Row],[PL_P]]+DATA[[#This Row],[PL_F]]),0)</f>
        <v>0</v>
      </c>
      <c r="K79" s="1">
        <f ca="1">COUNTIF(INDIRECT("'"&amp;DATA[[#This Row],[Client]]&amp;"'!$P$32:$P$43"),"Pass")</f>
        <v>0</v>
      </c>
      <c r="L79" s="17">
        <f ca="1">IFERROR(DATA[[#This Row],[PN_P]]/(DATA[[#This Row],[PN_P]]+DATA[[#This Row],[PN_F]]),0)</f>
        <v>0</v>
      </c>
      <c r="M79" s="1">
        <f ca="1">COUNTIF(INDIRECT("'"&amp;DATA[[#This Row],[Client]]&amp;"'!$P$32:$P$43"),"Fail")</f>
        <v>0</v>
      </c>
      <c r="N79" s="17">
        <f ca="1">IFERROR(DATA[[#This Row],[PN_F]]/(DATA[[#This Row],[PN_P]]+DATA[[#This Row],[PN_F]]),0)</f>
        <v>0</v>
      </c>
      <c r="O79" s="1">
        <f ca="1">COUNTIF(INDIRECT("'"&amp;DATA[[#This Row],[Client]]&amp;"'!p48:$p$55"),"Pass")</f>
        <v>0</v>
      </c>
      <c r="P79" s="17">
        <f ca="1">IFERROR(DATA[[#This Row],[OD_P]]/(DATA[[#This Row],[OD_P]]+DATA[[#This Row],[OD_F]]),0)</f>
        <v>0</v>
      </c>
      <c r="Q79" s="1">
        <f ca="1">COUNTIF(INDIRECT("'"&amp;DATA[[#This Row],[Client]]&amp;"'!N48:$P$54"),"Fail")</f>
        <v>0</v>
      </c>
      <c r="R79" s="17">
        <f ca="1">IFERROR(DATA[[#This Row],[OD_F]]/(DATA[[#This Row],[OD_P]]+DATA[[#This Row],[OD_F]]),0)</f>
        <v>0</v>
      </c>
      <c r="S79" s="1">
        <f ca="1">COUNTIF(INDIRECT("'"&amp;DATA[[#This Row],[Client]]&amp;"'!$P$59:$P$63"),"Pass")</f>
        <v>0</v>
      </c>
      <c r="T79" s="17">
        <f ca="1">IFERROR(DATA[[#This Row],[SS_P]]/(DATA[[#This Row],[SS_P]]+DATA[[#This Row],[SS_F]]),0)</f>
        <v>0</v>
      </c>
      <c r="U79" s="1">
        <f ca="1">COUNTIF(INDIRECT("'"&amp;DATA[[#This Row],[Client]]&amp;"'!$P$59:$P$63"),"Fail")</f>
        <v>0</v>
      </c>
      <c r="V79" s="17">
        <f ca="1">IFERROR(DATA[[#This Row],[SS_F]]/(DATA[[#This Row],[SS_P]]+DATA[[#This Row],[SS_F]]),0)</f>
        <v>0</v>
      </c>
      <c r="W79" s="1">
        <f ca="1">COUNTIF(INDIRECT("'"&amp;DATA[[#This Row],[Client]]&amp;"'!$P$68:$P$79"),"Pass")</f>
        <v>0</v>
      </c>
      <c r="X79" s="17">
        <f ca="1">IFERROR(DATA[[#This Row],[B_P]]/(DATA[[#This Row],[B_P]]+DATA[[#This Row],[B_F]]),0)</f>
        <v>0</v>
      </c>
      <c r="Y79" s="1">
        <f ca="1">COUNTIF(INDIRECT("'"&amp;DATA[[#This Row],[Client]]&amp;"'!$P$68:$P$79"),"Fail")</f>
        <v>0</v>
      </c>
      <c r="Z79" s="17">
        <f ca="1">IFERROR(DATA[[#This Row],[B_F]]/(DATA[[#This Row],[B_P]]+DATA[[#This Row],[B_F]]),0)</f>
        <v>0</v>
      </c>
      <c r="AA79" s="25">
        <f ca="1">SUM(DATA[[#This Row],[A_P]],DATA[[#This Row],[A_F]],DATA[[#This Row],[PL_P]],DATA[[#This Row],[PL_F]],DATA[[#This Row],[PN_P]],DATA[[#This Row],[PN_F]],DATA[[#This Row],[OD_P]],DATA[[#This Row],[OD_F]],DATA[[#This Row],[SS_P]],DATA[[#This Row],[SS_F]],DATA[[#This Row],[B_P]],DATA[[#This Row],[B_F]])</f>
        <v>0</v>
      </c>
      <c r="AB79">
        <f ca="1">SUM(DATA[[#This Row],[A_P]],DATA[[#This Row],[PL_P]],DATA[[#This Row],[PN_P]],DATA[[#This Row],[OD_P]],DATA[[#This Row],[SS_P]],DATA[[#This Row],[B_P]])</f>
        <v>0</v>
      </c>
      <c r="AC79" s="27">
        <f ca="1">IFERROR(DATA[[#This Row],[Total_P]]/DATA[[#This Row],[Total]],0)</f>
        <v>0</v>
      </c>
      <c r="AD79">
        <f ca="1">SUM(DATA[[#This Row],[A_F]],DATA[[#This Row],[PL_F]],DATA[[#This Row],[PN_F]],DATA[[#This Row],[OD_F]],DATA[[#This Row],[SS_F]],DATA[[#This Row],[B_F]])</f>
        <v>0</v>
      </c>
      <c r="AE79" s="27">
        <f ca="1">IFERROR(DATA[[#This Row],[Total_F]]/DATA[[#This Row],[Total]],0)</f>
        <v>0</v>
      </c>
      <c r="AF79" s="1" t="str">
        <f ca="1">IF(DATA[[#This Row],[Total_P%]]&gt;0.9,"Yes","No")</f>
        <v>No</v>
      </c>
      <c r="AG79" s="24">
        <f>SUMIFS(H104:H703,N104:N703,"Yes",M104:M703,DATA[[#This Row],[Client]])</f>
        <v>0</v>
      </c>
      <c r="AH79" s="1">
        <f>COUNTIFS(N103:N702,"Yes",M103:M702,DATA[[#This Row],[Client]])</f>
        <v>0</v>
      </c>
      <c r="AI79" s="1">
        <f>COUNTIFS(I104:I703,"&lt;&gt;0",M104:M703,DATA[[#This Row],[Client]])</f>
        <v>0</v>
      </c>
      <c r="AJ79" s="1" t="e">
        <f>VLOOKUP(DATA[[#This Row],[Client]],#REF!,4,FALSE)</f>
        <v>#REF!</v>
      </c>
      <c r="AK79" s="1">
        <f ca="1">DATA[[#This Row],[A_P]]+DATA[[#This Row],[A_F]]</f>
        <v>0</v>
      </c>
      <c r="AL79" s="1">
        <f ca="1">DATA[[#This Row],[PL_P]]+DATA[[#This Row],[PL_F]]</f>
        <v>0</v>
      </c>
      <c r="AM79" s="1">
        <f ca="1">DATA[[#This Row],[PN_P]]+DATA[[#This Row],[PN_F]]</f>
        <v>0</v>
      </c>
      <c r="AN79" s="1">
        <f ca="1">DATA[[#This Row],[OD_P]]+DATA[[#This Row],[OD_F]]</f>
        <v>0</v>
      </c>
      <c r="AO79" s="1">
        <f ca="1">DATA[[#This Row],[SS_P]]+DATA[[#This Row],[SS_F]]</f>
        <v>0</v>
      </c>
      <c r="AP79" s="1">
        <f ca="1">DATA[[#This Row],[B_P]]+DATA[[#This Row],[B_F]]</f>
        <v>0</v>
      </c>
      <c r="AQ79" s="1"/>
    </row>
    <row r="80" spans="1:43" ht="15" x14ac:dyDescent="0.2">
      <c r="A80" s="6" t="s">
        <v>29</v>
      </c>
      <c r="B80" s="6" t="str">
        <f>VLOOKUP(DATA[[#This Row],[Client]],S110:T130,2,FALSE)</f>
        <v>No</v>
      </c>
      <c r="C80" s="1">
        <f ca="1">COUNTIF(INDIRECT("'"&amp;DATA[[#This Row],[Client]]&amp;"'!$p$9:$p$19"),"Pass")</f>
        <v>0</v>
      </c>
      <c r="D80" s="17">
        <f ca="1">IFERROR(DATA[[#This Row],[A_P]]/(DATA[[#This Row],[A_P]]+DATA[[#This Row],[A_F]]),0)</f>
        <v>0</v>
      </c>
      <c r="E80" s="1">
        <f ca="1">COUNTIF(INDIRECT("'"&amp;DATA[[#This Row],[Client]]&amp;"'!$p$9:$p$19"),"Fail")</f>
        <v>0</v>
      </c>
      <c r="F80" s="17">
        <f ca="1">IFERROR(DATA[[#This Row],[A_F]]/(DATA[[#This Row],[A_P]]+DATA[[#This Row],[A_F]]),0)</f>
        <v>0</v>
      </c>
      <c r="G80" s="1">
        <f ca="1">COUNTIF(INDIRECT("'"&amp;DATA[[#This Row],[Client]]&amp;"'!$P$24:$P$27"),"Pass")</f>
        <v>0</v>
      </c>
      <c r="H80" s="17">
        <f ca="1">IFERROR(DATA[[#This Row],[PL_P]]/(DATA[[#This Row],[PL_P]]+DATA[[#This Row],[PL_F]]),0)</f>
        <v>0</v>
      </c>
      <c r="I80" s="1">
        <f ca="1">COUNTIF(INDIRECT("'"&amp;DATA[[#This Row],[Client]]&amp;"'!$P$24:$P$27"),"Fail")</f>
        <v>0</v>
      </c>
      <c r="J80" s="17">
        <f ca="1">IFERROR(DATA[[#This Row],[PL_F]]/(DATA[[#This Row],[PL_P]]+DATA[[#This Row],[PL_F]]),0)</f>
        <v>0</v>
      </c>
      <c r="K80" s="1">
        <f ca="1">COUNTIF(INDIRECT("'"&amp;DATA[[#This Row],[Client]]&amp;"'!$P$32:$P$43"),"Pass")</f>
        <v>0</v>
      </c>
      <c r="L80" s="17">
        <f ca="1">IFERROR(DATA[[#This Row],[PN_P]]/(DATA[[#This Row],[PN_P]]+DATA[[#This Row],[PN_F]]),0)</f>
        <v>0</v>
      </c>
      <c r="M80" s="1">
        <f ca="1">COUNTIF(INDIRECT("'"&amp;DATA[[#This Row],[Client]]&amp;"'!$P$32:$P$43"),"Fail")</f>
        <v>0</v>
      </c>
      <c r="N80" s="17">
        <f ca="1">IFERROR(DATA[[#This Row],[PN_F]]/(DATA[[#This Row],[PN_P]]+DATA[[#This Row],[PN_F]]),0)</f>
        <v>0</v>
      </c>
      <c r="O80" s="1">
        <f ca="1">COUNTIF(INDIRECT("'"&amp;DATA[[#This Row],[Client]]&amp;"'!p48:$p$55"),"Pass")</f>
        <v>0</v>
      </c>
      <c r="P80" s="17">
        <f ca="1">IFERROR(DATA[[#This Row],[OD_P]]/(DATA[[#This Row],[OD_P]]+DATA[[#This Row],[OD_F]]),0)</f>
        <v>0</v>
      </c>
      <c r="Q80" s="1">
        <f ca="1">COUNTIF(INDIRECT("'"&amp;DATA[[#This Row],[Client]]&amp;"'!N48:$P$54"),"Fail")</f>
        <v>0</v>
      </c>
      <c r="R80" s="17">
        <f ca="1">IFERROR(DATA[[#This Row],[OD_F]]/(DATA[[#This Row],[OD_P]]+DATA[[#This Row],[OD_F]]),0)</f>
        <v>0</v>
      </c>
      <c r="S80" s="1">
        <f ca="1">COUNTIF(INDIRECT("'"&amp;DATA[[#This Row],[Client]]&amp;"'!$P$59:$P$63"),"Pass")</f>
        <v>0</v>
      </c>
      <c r="T80" s="17">
        <f ca="1">IFERROR(DATA[[#This Row],[SS_P]]/(DATA[[#This Row],[SS_P]]+DATA[[#This Row],[SS_F]]),0)</f>
        <v>0</v>
      </c>
      <c r="U80" s="1">
        <f ca="1">COUNTIF(INDIRECT("'"&amp;DATA[[#This Row],[Client]]&amp;"'!$P$59:$P$63"),"Fail")</f>
        <v>0</v>
      </c>
      <c r="V80" s="17">
        <f ca="1">IFERROR(DATA[[#This Row],[SS_F]]/(DATA[[#This Row],[SS_P]]+DATA[[#This Row],[SS_F]]),0)</f>
        <v>0</v>
      </c>
      <c r="W80" s="1">
        <f ca="1">COUNTIF(INDIRECT("'"&amp;DATA[[#This Row],[Client]]&amp;"'!$P$68:$P$79"),"Pass")</f>
        <v>0</v>
      </c>
      <c r="X80" s="17">
        <f ca="1">IFERROR(DATA[[#This Row],[B_P]]/(DATA[[#This Row],[B_P]]+DATA[[#This Row],[B_F]]),0)</f>
        <v>0</v>
      </c>
      <c r="Y80" s="1">
        <f ca="1">COUNTIF(INDIRECT("'"&amp;DATA[[#This Row],[Client]]&amp;"'!$P$68:$P$79"),"Fail")</f>
        <v>0</v>
      </c>
      <c r="Z80" s="17">
        <f ca="1">IFERROR(DATA[[#This Row],[B_F]]/(DATA[[#This Row],[B_P]]+DATA[[#This Row],[B_F]]),0)</f>
        <v>0</v>
      </c>
      <c r="AA80" s="25">
        <f ca="1">SUM(DATA[[#This Row],[A_P]],DATA[[#This Row],[A_F]],DATA[[#This Row],[PL_P]],DATA[[#This Row],[PL_F]],DATA[[#This Row],[PN_P]],DATA[[#This Row],[PN_F]],DATA[[#This Row],[OD_P]],DATA[[#This Row],[OD_F]],DATA[[#This Row],[SS_P]],DATA[[#This Row],[SS_F]],DATA[[#This Row],[B_P]],DATA[[#This Row],[B_F]])</f>
        <v>0</v>
      </c>
      <c r="AB80">
        <f ca="1">SUM(DATA[[#This Row],[A_P]],DATA[[#This Row],[PL_P]],DATA[[#This Row],[PN_P]],DATA[[#This Row],[OD_P]],DATA[[#This Row],[SS_P]],DATA[[#This Row],[B_P]])</f>
        <v>0</v>
      </c>
      <c r="AC80" s="27">
        <f ca="1">IFERROR(DATA[[#This Row],[Total_P]]/DATA[[#This Row],[Total]],0)</f>
        <v>0</v>
      </c>
      <c r="AD80">
        <f ca="1">SUM(DATA[[#This Row],[A_F]],DATA[[#This Row],[PL_F]],DATA[[#This Row],[PN_F]],DATA[[#This Row],[OD_F]],DATA[[#This Row],[SS_F]],DATA[[#This Row],[B_F]])</f>
        <v>0</v>
      </c>
      <c r="AE80" s="27">
        <f ca="1">IFERROR(DATA[[#This Row],[Total_F]]/DATA[[#This Row],[Total]],0)</f>
        <v>0</v>
      </c>
      <c r="AF80" s="1" t="str">
        <f ca="1">IF(DATA[[#This Row],[Total_P%]]&gt;0.9,"Yes","No")</f>
        <v>No</v>
      </c>
      <c r="AG80" s="24">
        <f>SUMIFS(H105:H704,N105:N704,"Yes",M105:M704,DATA[[#This Row],[Client]])</f>
        <v>0</v>
      </c>
      <c r="AH80" s="1">
        <f>COUNTIFS(N104:N703,"Yes",M104:M703,DATA[[#This Row],[Client]])</f>
        <v>0</v>
      </c>
      <c r="AI80" s="1">
        <f>COUNTIFS(I105:I704,"&lt;&gt;0",M105:M704,DATA[[#This Row],[Client]])</f>
        <v>0</v>
      </c>
      <c r="AJ80" s="1" t="e">
        <f>VLOOKUP(DATA[[#This Row],[Client]],#REF!,4,FALSE)</f>
        <v>#REF!</v>
      </c>
      <c r="AK80" s="1">
        <f ca="1">DATA[[#This Row],[A_P]]+DATA[[#This Row],[A_F]]</f>
        <v>0</v>
      </c>
      <c r="AL80" s="1">
        <f ca="1">DATA[[#This Row],[PL_P]]+DATA[[#This Row],[PL_F]]</f>
        <v>0</v>
      </c>
      <c r="AM80" s="1">
        <f ca="1">DATA[[#This Row],[PN_P]]+DATA[[#This Row],[PN_F]]</f>
        <v>0</v>
      </c>
      <c r="AN80" s="1">
        <f ca="1">DATA[[#This Row],[OD_P]]+DATA[[#This Row],[OD_F]]</f>
        <v>0</v>
      </c>
      <c r="AO80" s="1">
        <f ca="1">DATA[[#This Row],[SS_P]]+DATA[[#This Row],[SS_F]]</f>
        <v>0</v>
      </c>
      <c r="AP80" s="1">
        <f ca="1">DATA[[#This Row],[B_P]]+DATA[[#This Row],[B_F]]</f>
        <v>0</v>
      </c>
      <c r="AQ80" s="1"/>
    </row>
    <row r="81" spans="1:82" ht="15" x14ac:dyDescent="0.2">
      <c r="A81" s="6" t="s">
        <v>30</v>
      </c>
      <c r="B81" s="6" t="str">
        <f>VLOOKUP(DATA[[#This Row],[Client]],S111:T131,2,FALSE)</f>
        <v>No</v>
      </c>
      <c r="C81" s="1">
        <f ca="1">COUNTIF(INDIRECT("'"&amp;DATA[[#This Row],[Client]]&amp;"'!$p$9:$p$19"),"Pass")</f>
        <v>0</v>
      </c>
      <c r="D81" s="17">
        <f ca="1">IFERROR(DATA[[#This Row],[A_P]]/(DATA[[#This Row],[A_P]]+DATA[[#This Row],[A_F]]),0)</f>
        <v>0</v>
      </c>
      <c r="E81" s="1">
        <f ca="1">COUNTIF(INDIRECT("'"&amp;DATA[[#This Row],[Client]]&amp;"'!$p$9:$p$19"),"Fail")</f>
        <v>0</v>
      </c>
      <c r="F81" s="17">
        <f ca="1">IFERROR(DATA[[#This Row],[A_F]]/(DATA[[#This Row],[A_P]]+DATA[[#This Row],[A_F]]),0)</f>
        <v>0</v>
      </c>
      <c r="G81" s="1">
        <f ca="1">COUNTIF(INDIRECT("'"&amp;DATA[[#This Row],[Client]]&amp;"'!$P$24:$P$27"),"Pass")</f>
        <v>0</v>
      </c>
      <c r="H81" s="17">
        <f ca="1">IFERROR(DATA[[#This Row],[PL_P]]/(DATA[[#This Row],[PL_P]]+DATA[[#This Row],[PL_F]]),0)</f>
        <v>0</v>
      </c>
      <c r="I81" s="1">
        <f ca="1">COUNTIF(INDIRECT("'"&amp;DATA[[#This Row],[Client]]&amp;"'!$P$24:$P$27"),"Fail")</f>
        <v>0</v>
      </c>
      <c r="J81" s="17">
        <f ca="1">IFERROR(DATA[[#This Row],[PL_F]]/(DATA[[#This Row],[PL_P]]+DATA[[#This Row],[PL_F]]),0)</f>
        <v>0</v>
      </c>
      <c r="K81" s="1">
        <f ca="1">COUNTIF(INDIRECT("'"&amp;DATA[[#This Row],[Client]]&amp;"'!$P$32:$P$43"),"Pass")</f>
        <v>0</v>
      </c>
      <c r="L81" s="17">
        <f ca="1">IFERROR(DATA[[#This Row],[PN_P]]/(DATA[[#This Row],[PN_P]]+DATA[[#This Row],[PN_F]]),0)</f>
        <v>0</v>
      </c>
      <c r="M81" s="1">
        <f ca="1">COUNTIF(INDIRECT("'"&amp;DATA[[#This Row],[Client]]&amp;"'!$P$32:$P$43"),"Fail")</f>
        <v>0</v>
      </c>
      <c r="N81" s="17">
        <f ca="1">IFERROR(DATA[[#This Row],[PN_F]]/(DATA[[#This Row],[PN_P]]+DATA[[#This Row],[PN_F]]),0)</f>
        <v>0</v>
      </c>
      <c r="O81" s="1">
        <f ca="1">COUNTIF(INDIRECT("'"&amp;DATA[[#This Row],[Client]]&amp;"'!p48:$p$55"),"Pass")</f>
        <v>0</v>
      </c>
      <c r="P81" s="17">
        <f ca="1">IFERROR(DATA[[#This Row],[OD_P]]/(DATA[[#This Row],[OD_P]]+DATA[[#This Row],[OD_F]]),0)</f>
        <v>0</v>
      </c>
      <c r="Q81" s="1">
        <f ca="1">COUNTIF(INDIRECT("'"&amp;DATA[[#This Row],[Client]]&amp;"'!N48:$P$54"),"Fail")</f>
        <v>0</v>
      </c>
      <c r="R81" s="17">
        <f ca="1">IFERROR(DATA[[#This Row],[OD_F]]/(DATA[[#This Row],[OD_P]]+DATA[[#This Row],[OD_F]]),0)</f>
        <v>0</v>
      </c>
      <c r="S81" s="1">
        <f ca="1">COUNTIF(INDIRECT("'"&amp;DATA[[#This Row],[Client]]&amp;"'!$P$59:$P$63"),"Pass")</f>
        <v>0</v>
      </c>
      <c r="T81" s="17">
        <f ca="1">IFERROR(DATA[[#This Row],[SS_P]]/(DATA[[#This Row],[SS_P]]+DATA[[#This Row],[SS_F]]),0)</f>
        <v>0</v>
      </c>
      <c r="U81" s="1">
        <f ca="1">COUNTIF(INDIRECT("'"&amp;DATA[[#This Row],[Client]]&amp;"'!$P$59:$P$63"),"Fail")</f>
        <v>0</v>
      </c>
      <c r="V81" s="17">
        <f ca="1">IFERROR(DATA[[#This Row],[SS_F]]/(DATA[[#This Row],[SS_P]]+DATA[[#This Row],[SS_F]]),0)</f>
        <v>0</v>
      </c>
      <c r="W81" s="1">
        <f ca="1">COUNTIF(INDIRECT("'"&amp;DATA[[#This Row],[Client]]&amp;"'!$P$68:$P$79"),"Pass")</f>
        <v>0</v>
      </c>
      <c r="X81" s="17">
        <f ca="1">IFERROR(DATA[[#This Row],[B_P]]/(DATA[[#This Row],[B_P]]+DATA[[#This Row],[B_F]]),0)</f>
        <v>0</v>
      </c>
      <c r="Y81" s="1">
        <f ca="1">COUNTIF(INDIRECT("'"&amp;DATA[[#This Row],[Client]]&amp;"'!$P$68:$P$79"),"Fail")</f>
        <v>0</v>
      </c>
      <c r="Z81" s="17">
        <f ca="1">IFERROR(DATA[[#This Row],[B_F]]/(DATA[[#This Row],[B_P]]+DATA[[#This Row],[B_F]]),0)</f>
        <v>0</v>
      </c>
      <c r="AA81" s="25">
        <f ca="1">SUM(DATA[[#This Row],[A_P]],DATA[[#This Row],[A_F]],DATA[[#This Row],[PL_P]],DATA[[#This Row],[PL_F]],DATA[[#This Row],[PN_P]],DATA[[#This Row],[PN_F]],DATA[[#This Row],[OD_P]],DATA[[#This Row],[OD_F]],DATA[[#This Row],[SS_P]],DATA[[#This Row],[SS_F]],DATA[[#This Row],[B_P]],DATA[[#This Row],[B_F]])</f>
        <v>0</v>
      </c>
      <c r="AB81">
        <f ca="1">SUM(DATA[[#This Row],[A_P]],DATA[[#This Row],[PL_P]],DATA[[#This Row],[PN_P]],DATA[[#This Row],[OD_P]],DATA[[#This Row],[SS_P]],DATA[[#This Row],[B_P]])</f>
        <v>0</v>
      </c>
      <c r="AC81" s="27">
        <f ca="1">IFERROR(DATA[[#This Row],[Total_P]]/DATA[[#This Row],[Total]],0)</f>
        <v>0</v>
      </c>
      <c r="AD81">
        <f ca="1">SUM(DATA[[#This Row],[A_F]],DATA[[#This Row],[PL_F]],DATA[[#This Row],[PN_F]],DATA[[#This Row],[OD_F]],DATA[[#This Row],[SS_F]],DATA[[#This Row],[B_F]])</f>
        <v>0</v>
      </c>
      <c r="AE81" s="27">
        <f ca="1">IFERROR(DATA[[#This Row],[Total_F]]/DATA[[#This Row],[Total]],0)</f>
        <v>0</v>
      </c>
      <c r="AF81" s="1" t="str">
        <f ca="1">IF(DATA[[#This Row],[Total_P%]]&gt;0.9,"Yes","No")</f>
        <v>No</v>
      </c>
      <c r="AG81" s="24">
        <f>SUMIFS(H106:H705,N106:N705,"Yes",M106:M705,DATA[[#This Row],[Client]])</f>
        <v>0</v>
      </c>
      <c r="AH81" s="1">
        <f>COUNTIFS(N105:N704,"Yes",M105:M704,DATA[[#This Row],[Client]])</f>
        <v>0</v>
      </c>
      <c r="AI81" s="1">
        <f>COUNTIFS(I106:I705,"&lt;&gt;0",M106:M705,DATA[[#This Row],[Client]])</f>
        <v>0</v>
      </c>
      <c r="AJ81" s="1" t="e">
        <f>VLOOKUP(DATA[[#This Row],[Client]],#REF!,4,FALSE)</f>
        <v>#REF!</v>
      </c>
      <c r="AK81" s="1">
        <f ca="1">DATA[[#This Row],[A_P]]+DATA[[#This Row],[A_F]]</f>
        <v>0</v>
      </c>
      <c r="AL81" s="1">
        <f ca="1">DATA[[#This Row],[PL_P]]+DATA[[#This Row],[PL_F]]</f>
        <v>0</v>
      </c>
      <c r="AM81" s="1">
        <f ca="1">DATA[[#This Row],[PN_P]]+DATA[[#This Row],[PN_F]]</f>
        <v>0</v>
      </c>
      <c r="AN81" s="1">
        <f ca="1">DATA[[#This Row],[OD_P]]+DATA[[#This Row],[OD_F]]</f>
        <v>0</v>
      </c>
      <c r="AO81" s="1">
        <f ca="1">DATA[[#This Row],[SS_P]]+DATA[[#This Row],[SS_F]]</f>
        <v>0</v>
      </c>
      <c r="AP81" s="1">
        <f ca="1">DATA[[#This Row],[B_P]]+DATA[[#This Row],[B_F]]</f>
        <v>0</v>
      </c>
      <c r="AQ81" s="1"/>
    </row>
    <row r="82" spans="1:82" ht="15" x14ac:dyDescent="0.2">
      <c r="A82" s="6" t="s">
        <v>31</v>
      </c>
      <c r="B82" s="6" t="str">
        <f>VLOOKUP(DATA[[#This Row],[Client]],S112:T132,2,FALSE)</f>
        <v>No</v>
      </c>
      <c r="C82" s="1">
        <f ca="1">COUNTIF(INDIRECT("'"&amp;DATA[[#This Row],[Client]]&amp;"'!$p$9:$p$19"),"Pass")</f>
        <v>0</v>
      </c>
      <c r="D82" s="17">
        <f ca="1">IFERROR(DATA[[#This Row],[A_P]]/(DATA[[#This Row],[A_P]]+DATA[[#This Row],[A_F]]),0)</f>
        <v>0</v>
      </c>
      <c r="E82" s="1">
        <f ca="1">COUNTIF(INDIRECT("'"&amp;DATA[[#This Row],[Client]]&amp;"'!$p$9:$p$19"),"Fail")</f>
        <v>0</v>
      </c>
      <c r="F82" s="17">
        <f ca="1">IFERROR(DATA[[#This Row],[A_F]]/(DATA[[#This Row],[A_P]]+DATA[[#This Row],[A_F]]),0)</f>
        <v>0</v>
      </c>
      <c r="G82" s="1">
        <f ca="1">COUNTIF(INDIRECT("'"&amp;DATA[[#This Row],[Client]]&amp;"'!$P$24:$P$27"),"Pass")</f>
        <v>0</v>
      </c>
      <c r="H82" s="17">
        <f ca="1">IFERROR(DATA[[#This Row],[PL_P]]/(DATA[[#This Row],[PL_P]]+DATA[[#This Row],[PL_F]]),0)</f>
        <v>0</v>
      </c>
      <c r="I82" s="1">
        <f ca="1">COUNTIF(INDIRECT("'"&amp;DATA[[#This Row],[Client]]&amp;"'!$P$24:$P$27"),"Fail")</f>
        <v>0</v>
      </c>
      <c r="J82" s="17">
        <f ca="1">IFERROR(DATA[[#This Row],[PL_F]]/(DATA[[#This Row],[PL_P]]+DATA[[#This Row],[PL_F]]),0)</f>
        <v>0</v>
      </c>
      <c r="K82" s="1">
        <f ca="1">COUNTIF(INDIRECT("'"&amp;DATA[[#This Row],[Client]]&amp;"'!$P$32:$P$43"),"Pass")</f>
        <v>0</v>
      </c>
      <c r="L82" s="17">
        <f ca="1">IFERROR(DATA[[#This Row],[PN_P]]/(DATA[[#This Row],[PN_P]]+DATA[[#This Row],[PN_F]]),0)</f>
        <v>0</v>
      </c>
      <c r="M82" s="1">
        <f ca="1">COUNTIF(INDIRECT("'"&amp;DATA[[#This Row],[Client]]&amp;"'!$P$32:$P$43"),"Fail")</f>
        <v>0</v>
      </c>
      <c r="N82" s="17">
        <f ca="1">IFERROR(DATA[[#This Row],[PN_F]]/(DATA[[#This Row],[PN_P]]+DATA[[#This Row],[PN_F]]),0)</f>
        <v>0</v>
      </c>
      <c r="O82" s="1">
        <f ca="1">COUNTIF(INDIRECT("'"&amp;DATA[[#This Row],[Client]]&amp;"'!p48:$p$55"),"Pass")</f>
        <v>0</v>
      </c>
      <c r="P82" s="17">
        <f ca="1">IFERROR(DATA[[#This Row],[OD_P]]/(DATA[[#This Row],[OD_P]]+DATA[[#This Row],[OD_F]]),0)</f>
        <v>0</v>
      </c>
      <c r="Q82" s="1">
        <f ca="1">COUNTIF(INDIRECT("'"&amp;DATA[[#This Row],[Client]]&amp;"'!N48:$P$54"),"Fail")</f>
        <v>0</v>
      </c>
      <c r="R82" s="17">
        <f ca="1">IFERROR(DATA[[#This Row],[OD_F]]/(DATA[[#This Row],[OD_P]]+DATA[[#This Row],[OD_F]]),0)</f>
        <v>0</v>
      </c>
      <c r="S82" s="1">
        <f ca="1">COUNTIF(INDIRECT("'"&amp;DATA[[#This Row],[Client]]&amp;"'!$P$59:$P$63"),"Pass")</f>
        <v>0</v>
      </c>
      <c r="T82" s="17">
        <f ca="1">IFERROR(DATA[[#This Row],[SS_P]]/(DATA[[#This Row],[SS_P]]+DATA[[#This Row],[SS_F]]),0)</f>
        <v>0</v>
      </c>
      <c r="U82" s="1">
        <f ca="1">COUNTIF(INDIRECT("'"&amp;DATA[[#This Row],[Client]]&amp;"'!$P$59:$P$63"),"Fail")</f>
        <v>0</v>
      </c>
      <c r="V82" s="17">
        <f ca="1">IFERROR(DATA[[#This Row],[SS_F]]/(DATA[[#This Row],[SS_P]]+DATA[[#This Row],[SS_F]]),0)</f>
        <v>0</v>
      </c>
      <c r="W82" s="1">
        <f ca="1">COUNTIF(INDIRECT("'"&amp;DATA[[#This Row],[Client]]&amp;"'!$P$68:$P$79"),"Pass")</f>
        <v>0</v>
      </c>
      <c r="X82" s="17">
        <f ca="1">IFERROR(DATA[[#This Row],[B_P]]/(DATA[[#This Row],[B_P]]+DATA[[#This Row],[B_F]]),0)</f>
        <v>0</v>
      </c>
      <c r="Y82" s="1">
        <f ca="1">COUNTIF(INDIRECT("'"&amp;DATA[[#This Row],[Client]]&amp;"'!$P$68:$P$79"),"Fail")</f>
        <v>0</v>
      </c>
      <c r="Z82" s="17">
        <f ca="1">IFERROR(DATA[[#This Row],[B_F]]/(DATA[[#This Row],[B_P]]+DATA[[#This Row],[B_F]]),0)</f>
        <v>0</v>
      </c>
      <c r="AA82" s="25">
        <f ca="1">SUM(DATA[[#This Row],[A_P]],DATA[[#This Row],[A_F]],DATA[[#This Row],[PL_P]],DATA[[#This Row],[PL_F]],DATA[[#This Row],[PN_P]],DATA[[#This Row],[PN_F]],DATA[[#This Row],[OD_P]],DATA[[#This Row],[OD_F]],DATA[[#This Row],[SS_P]],DATA[[#This Row],[SS_F]],DATA[[#This Row],[B_P]],DATA[[#This Row],[B_F]])</f>
        <v>0</v>
      </c>
      <c r="AB82">
        <f ca="1">SUM(DATA[[#This Row],[A_P]],DATA[[#This Row],[PL_P]],DATA[[#This Row],[PN_P]],DATA[[#This Row],[OD_P]],DATA[[#This Row],[SS_P]],DATA[[#This Row],[B_P]])</f>
        <v>0</v>
      </c>
      <c r="AC82" s="27">
        <f ca="1">IFERROR(DATA[[#This Row],[Total_P]]/DATA[[#This Row],[Total]],0)</f>
        <v>0</v>
      </c>
      <c r="AD82">
        <f ca="1">SUM(DATA[[#This Row],[A_F]],DATA[[#This Row],[PL_F]],DATA[[#This Row],[PN_F]],DATA[[#This Row],[OD_F]],DATA[[#This Row],[SS_F]],DATA[[#This Row],[B_F]])</f>
        <v>0</v>
      </c>
      <c r="AE82" s="27">
        <f ca="1">IFERROR(DATA[[#This Row],[Total_F]]/DATA[[#This Row],[Total]],0)</f>
        <v>0</v>
      </c>
      <c r="AF82" s="1" t="str">
        <f ca="1">IF(DATA[[#This Row],[Total_P%]]&gt;0.9,"Yes","No")</f>
        <v>No</v>
      </c>
      <c r="AG82" s="24">
        <f>SUMIFS(H107:H706,N107:N706,"Yes",M107:M706,DATA[[#This Row],[Client]])</f>
        <v>0</v>
      </c>
      <c r="AH82" s="1">
        <f>COUNTIFS(N106:N705,"Yes",M106:M705,DATA[[#This Row],[Client]])</f>
        <v>0</v>
      </c>
      <c r="AI82" s="1">
        <f>COUNTIFS(I107:I706,"&lt;&gt;0",M107:M706,DATA[[#This Row],[Client]])</f>
        <v>0</v>
      </c>
      <c r="AJ82" s="1" t="e">
        <f>VLOOKUP(DATA[[#This Row],[Client]],#REF!,4,FALSE)</f>
        <v>#REF!</v>
      </c>
      <c r="AK82" s="1">
        <f ca="1">DATA[[#This Row],[A_P]]+DATA[[#This Row],[A_F]]</f>
        <v>0</v>
      </c>
      <c r="AL82" s="1">
        <f ca="1">DATA[[#This Row],[PL_P]]+DATA[[#This Row],[PL_F]]</f>
        <v>0</v>
      </c>
      <c r="AM82" s="1">
        <f ca="1">DATA[[#This Row],[PN_P]]+DATA[[#This Row],[PN_F]]</f>
        <v>0</v>
      </c>
      <c r="AN82" s="1">
        <f ca="1">DATA[[#This Row],[OD_P]]+DATA[[#This Row],[OD_F]]</f>
        <v>0</v>
      </c>
      <c r="AO82" s="1">
        <f ca="1">DATA[[#This Row],[SS_P]]+DATA[[#This Row],[SS_F]]</f>
        <v>0</v>
      </c>
      <c r="AP82" s="1">
        <f ca="1">DATA[[#This Row],[B_P]]+DATA[[#This Row],[B_F]]</f>
        <v>0</v>
      </c>
      <c r="AQ82" s="1"/>
    </row>
    <row r="83" spans="1:82" ht="15" x14ac:dyDescent="0.2">
      <c r="A83" s="6" t="s">
        <v>32</v>
      </c>
      <c r="B83" s="6" t="str">
        <f>VLOOKUP(DATA[[#This Row],[Client]],S113:T133,2,FALSE)</f>
        <v>No</v>
      </c>
      <c r="C83" s="1">
        <f ca="1">COUNTIF(INDIRECT("'"&amp;DATA[[#This Row],[Client]]&amp;"'!$p$9:$p$19"),"Pass")</f>
        <v>0</v>
      </c>
      <c r="D83" s="17">
        <f ca="1">IFERROR(DATA[[#This Row],[A_P]]/(DATA[[#This Row],[A_P]]+DATA[[#This Row],[A_F]]),0)</f>
        <v>0</v>
      </c>
      <c r="E83" s="1">
        <f ca="1">COUNTIF(INDIRECT("'"&amp;DATA[[#This Row],[Client]]&amp;"'!$p$9:$p$19"),"Fail")</f>
        <v>0</v>
      </c>
      <c r="F83" s="17">
        <f ca="1">IFERROR(DATA[[#This Row],[A_F]]/(DATA[[#This Row],[A_P]]+DATA[[#This Row],[A_F]]),0)</f>
        <v>0</v>
      </c>
      <c r="G83" s="1">
        <f ca="1">COUNTIF(INDIRECT("'"&amp;DATA[[#This Row],[Client]]&amp;"'!$P$24:$P$27"),"Pass")</f>
        <v>0</v>
      </c>
      <c r="H83" s="17">
        <f ca="1">IFERROR(DATA[[#This Row],[PL_P]]/(DATA[[#This Row],[PL_P]]+DATA[[#This Row],[PL_F]]),0)</f>
        <v>0</v>
      </c>
      <c r="I83" s="1">
        <f ca="1">COUNTIF(INDIRECT("'"&amp;DATA[[#This Row],[Client]]&amp;"'!$P$24:$P$27"),"Fail")</f>
        <v>0</v>
      </c>
      <c r="J83" s="17">
        <f ca="1">IFERROR(DATA[[#This Row],[PL_F]]/(DATA[[#This Row],[PL_P]]+DATA[[#This Row],[PL_F]]),0)</f>
        <v>0</v>
      </c>
      <c r="K83" s="1">
        <f ca="1">COUNTIF(INDIRECT("'"&amp;DATA[[#This Row],[Client]]&amp;"'!$P$32:$P$43"),"Pass")</f>
        <v>0</v>
      </c>
      <c r="L83" s="17">
        <f ca="1">IFERROR(DATA[[#This Row],[PN_P]]/(DATA[[#This Row],[PN_P]]+DATA[[#This Row],[PN_F]]),0)</f>
        <v>0</v>
      </c>
      <c r="M83" s="1">
        <f ca="1">COUNTIF(INDIRECT("'"&amp;DATA[[#This Row],[Client]]&amp;"'!$P$32:$P$43"),"Fail")</f>
        <v>0</v>
      </c>
      <c r="N83" s="17">
        <f ca="1">IFERROR(DATA[[#This Row],[PN_F]]/(DATA[[#This Row],[PN_P]]+DATA[[#This Row],[PN_F]]),0)</f>
        <v>0</v>
      </c>
      <c r="O83" s="1">
        <f ca="1">COUNTIF(INDIRECT("'"&amp;DATA[[#This Row],[Client]]&amp;"'!p48:$p$55"),"Pass")</f>
        <v>0</v>
      </c>
      <c r="P83" s="17">
        <f ca="1">IFERROR(DATA[[#This Row],[OD_P]]/(DATA[[#This Row],[OD_P]]+DATA[[#This Row],[OD_F]]),0)</f>
        <v>0</v>
      </c>
      <c r="Q83" s="1">
        <f ca="1">COUNTIF(INDIRECT("'"&amp;DATA[[#This Row],[Client]]&amp;"'!N48:$P$54"),"Fail")</f>
        <v>0</v>
      </c>
      <c r="R83" s="17">
        <f ca="1">IFERROR(DATA[[#This Row],[OD_F]]/(DATA[[#This Row],[OD_P]]+DATA[[#This Row],[OD_F]]),0)</f>
        <v>0</v>
      </c>
      <c r="S83" s="1">
        <f ca="1">COUNTIF(INDIRECT("'"&amp;DATA[[#This Row],[Client]]&amp;"'!$P$59:$P$63"),"Pass")</f>
        <v>0</v>
      </c>
      <c r="T83" s="17">
        <f ca="1">IFERROR(DATA[[#This Row],[SS_P]]/(DATA[[#This Row],[SS_P]]+DATA[[#This Row],[SS_F]]),0)</f>
        <v>0</v>
      </c>
      <c r="U83" s="1">
        <f ca="1">COUNTIF(INDIRECT("'"&amp;DATA[[#This Row],[Client]]&amp;"'!$P$59:$P$63"),"Fail")</f>
        <v>0</v>
      </c>
      <c r="V83" s="17">
        <f ca="1">IFERROR(DATA[[#This Row],[SS_F]]/(DATA[[#This Row],[SS_P]]+DATA[[#This Row],[SS_F]]),0)</f>
        <v>0</v>
      </c>
      <c r="W83" s="1">
        <f ca="1">COUNTIF(INDIRECT("'"&amp;DATA[[#This Row],[Client]]&amp;"'!$P$68:$P$79"),"Pass")</f>
        <v>0</v>
      </c>
      <c r="X83" s="17">
        <f ca="1">IFERROR(DATA[[#This Row],[B_P]]/(DATA[[#This Row],[B_P]]+DATA[[#This Row],[B_F]]),0)</f>
        <v>0</v>
      </c>
      <c r="Y83" s="1">
        <f ca="1">COUNTIF(INDIRECT("'"&amp;DATA[[#This Row],[Client]]&amp;"'!$P$68:$P$79"),"Fail")</f>
        <v>0</v>
      </c>
      <c r="Z83" s="17">
        <f ca="1">IFERROR(DATA[[#This Row],[B_F]]/(DATA[[#This Row],[B_P]]+DATA[[#This Row],[B_F]]),0)</f>
        <v>0</v>
      </c>
      <c r="AA83" s="25">
        <f ca="1">SUM(DATA[[#This Row],[A_P]],DATA[[#This Row],[A_F]],DATA[[#This Row],[PL_P]],DATA[[#This Row],[PL_F]],DATA[[#This Row],[PN_P]],DATA[[#This Row],[PN_F]],DATA[[#This Row],[OD_P]],DATA[[#This Row],[OD_F]],DATA[[#This Row],[SS_P]],DATA[[#This Row],[SS_F]],DATA[[#This Row],[B_P]],DATA[[#This Row],[B_F]])</f>
        <v>0</v>
      </c>
      <c r="AB83">
        <f ca="1">SUM(DATA[[#This Row],[A_P]],DATA[[#This Row],[PL_P]],DATA[[#This Row],[PN_P]],DATA[[#This Row],[OD_P]],DATA[[#This Row],[SS_P]],DATA[[#This Row],[B_P]])</f>
        <v>0</v>
      </c>
      <c r="AC83" s="27">
        <f ca="1">IFERROR(DATA[[#This Row],[Total_P]]/DATA[[#This Row],[Total]],0)</f>
        <v>0</v>
      </c>
      <c r="AD83">
        <f ca="1">SUM(DATA[[#This Row],[A_F]],DATA[[#This Row],[PL_F]],DATA[[#This Row],[PN_F]],DATA[[#This Row],[OD_F]],DATA[[#This Row],[SS_F]],DATA[[#This Row],[B_F]])</f>
        <v>0</v>
      </c>
      <c r="AE83" s="27">
        <f ca="1">IFERROR(DATA[[#This Row],[Total_F]]/DATA[[#This Row],[Total]],0)</f>
        <v>0</v>
      </c>
      <c r="AF83" s="1" t="str">
        <f ca="1">IF(DATA[[#This Row],[Total_P%]]&gt;0.9,"Yes","No")</f>
        <v>No</v>
      </c>
      <c r="AG83" s="24">
        <f>SUMIFS(H108:H707,N108:N707,"Yes",M108:M707,DATA[[#This Row],[Client]])</f>
        <v>0</v>
      </c>
      <c r="AH83" s="1">
        <f>COUNTIFS(N107:N706,"Yes",M107:M706,DATA[[#This Row],[Client]])</f>
        <v>0</v>
      </c>
      <c r="AI83" s="1">
        <f>COUNTIFS(I108:I707,"&lt;&gt;0",M108:M707,DATA[[#This Row],[Client]])</f>
        <v>0</v>
      </c>
      <c r="AJ83" s="1" t="e">
        <f>VLOOKUP(DATA[[#This Row],[Client]],#REF!,4,FALSE)</f>
        <v>#REF!</v>
      </c>
      <c r="AK83" s="1">
        <f ca="1">DATA[[#This Row],[A_P]]+DATA[[#This Row],[A_F]]</f>
        <v>0</v>
      </c>
      <c r="AL83" s="1">
        <f ca="1">DATA[[#This Row],[PL_P]]+DATA[[#This Row],[PL_F]]</f>
        <v>0</v>
      </c>
      <c r="AM83" s="1">
        <f ca="1">DATA[[#This Row],[PN_P]]+DATA[[#This Row],[PN_F]]</f>
        <v>0</v>
      </c>
      <c r="AN83" s="1">
        <f ca="1">DATA[[#This Row],[OD_P]]+DATA[[#This Row],[OD_F]]</f>
        <v>0</v>
      </c>
      <c r="AO83" s="1">
        <f ca="1">DATA[[#This Row],[SS_P]]+DATA[[#This Row],[SS_F]]</f>
        <v>0</v>
      </c>
      <c r="AP83" s="1">
        <f ca="1">DATA[[#This Row],[B_P]]+DATA[[#This Row],[B_F]]</f>
        <v>0</v>
      </c>
      <c r="AQ83" s="1"/>
    </row>
    <row r="84" spans="1:82" ht="15" x14ac:dyDescent="0.2">
      <c r="A84" s="6" t="s">
        <v>33</v>
      </c>
      <c r="B84" s="6" t="str">
        <f>VLOOKUP(DATA[[#This Row],[Client]],S114:T134,2,FALSE)</f>
        <v>No</v>
      </c>
      <c r="C84" s="1">
        <f ca="1">COUNTIF(INDIRECT("'"&amp;DATA[[#This Row],[Client]]&amp;"'!$p$9:$p$19"),"Pass")</f>
        <v>0</v>
      </c>
      <c r="D84" s="17">
        <f ca="1">IFERROR(DATA[[#This Row],[A_P]]/(DATA[[#This Row],[A_P]]+DATA[[#This Row],[A_F]]),0)</f>
        <v>0</v>
      </c>
      <c r="E84" s="1">
        <f ca="1">COUNTIF(INDIRECT("'"&amp;DATA[[#This Row],[Client]]&amp;"'!$p$9:$p$19"),"Fail")</f>
        <v>0</v>
      </c>
      <c r="F84" s="17">
        <f ca="1">IFERROR(DATA[[#This Row],[A_F]]/(DATA[[#This Row],[A_P]]+DATA[[#This Row],[A_F]]),0)</f>
        <v>0</v>
      </c>
      <c r="G84" s="1">
        <f ca="1">COUNTIF(INDIRECT("'"&amp;DATA[[#This Row],[Client]]&amp;"'!$P$24:$P$27"),"Pass")</f>
        <v>0</v>
      </c>
      <c r="H84" s="17">
        <f ca="1">IFERROR(DATA[[#This Row],[PL_P]]/(DATA[[#This Row],[PL_P]]+DATA[[#This Row],[PL_F]]),0)</f>
        <v>0</v>
      </c>
      <c r="I84" s="1">
        <f ca="1">COUNTIF(INDIRECT("'"&amp;DATA[[#This Row],[Client]]&amp;"'!$P$24:$P$27"),"Fail")</f>
        <v>0</v>
      </c>
      <c r="J84" s="17">
        <f ca="1">IFERROR(DATA[[#This Row],[PL_F]]/(DATA[[#This Row],[PL_P]]+DATA[[#This Row],[PL_F]]),0)</f>
        <v>0</v>
      </c>
      <c r="K84" s="1">
        <f ca="1">COUNTIF(INDIRECT("'"&amp;DATA[[#This Row],[Client]]&amp;"'!$P$32:$P$43"),"Pass")</f>
        <v>0</v>
      </c>
      <c r="L84" s="17">
        <f ca="1">IFERROR(DATA[[#This Row],[PN_P]]/(DATA[[#This Row],[PN_P]]+DATA[[#This Row],[PN_F]]),0)</f>
        <v>0</v>
      </c>
      <c r="M84" s="1">
        <f ca="1">COUNTIF(INDIRECT("'"&amp;DATA[[#This Row],[Client]]&amp;"'!$P$32:$P$43"),"Fail")</f>
        <v>0</v>
      </c>
      <c r="N84" s="17">
        <f ca="1">IFERROR(DATA[[#This Row],[PN_F]]/(DATA[[#This Row],[PN_P]]+DATA[[#This Row],[PN_F]]),0)</f>
        <v>0</v>
      </c>
      <c r="O84" s="1">
        <f ca="1">COUNTIF(INDIRECT("'"&amp;DATA[[#This Row],[Client]]&amp;"'!p48:$p$55"),"Pass")</f>
        <v>0</v>
      </c>
      <c r="P84" s="17">
        <f ca="1">IFERROR(DATA[[#This Row],[OD_P]]/(DATA[[#This Row],[OD_P]]+DATA[[#This Row],[OD_F]]),0)</f>
        <v>0</v>
      </c>
      <c r="Q84" s="1">
        <f ca="1">COUNTIF(INDIRECT("'"&amp;DATA[[#This Row],[Client]]&amp;"'!N48:$P$54"),"Fail")</f>
        <v>0</v>
      </c>
      <c r="R84" s="17">
        <f ca="1">IFERROR(DATA[[#This Row],[OD_F]]/(DATA[[#This Row],[OD_P]]+DATA[[#This Row],[OD_F]]),0)</f>
        <v>0</v>
      </c>
      <c r="S84" s="1">
        <f ca="1">COUNTIF(INDIRECT("'"&amp;DATA[[#This Row],[Client]]&amp;"'!$P$59:$P$63"),"Pass")</f>
        <v>0</v>
      </c>
      <c r="T84" s="17">
        <f ca="1">IFERROR(DATA[[#This Row],[SS_P]]/(DATA[[#This Row],[SS_P]]+DATA[[#This Row],[SS_F]]),0)</f>
        <v>0</v>
      </c>
      <c r="U84" s="1">
        <f ca="1">COUNTIF(INDIRECT("'"&amp;DATA[[#This Row],[Client]]&amp;"'!$P$59:$P$63"),"Fail")</f>
        <v>0</v>
      </c>
      <c r="V84" s="17">
        <f ca="1">IFERROR(DATA[[#This Row],[SS_F]]/(DATA[[#This Row],[SS_P]]+DATA[[#This Row],[SS_F]]),0)</f>
        <v>0</v>
      </c>
      <c r="W84" s="1">
        <f ca="1">COUNTIF(INDIRECT("'"&amp;DATA[[#This Row],[Client]]&amp;"'!$P$68:$P$79"),"Pass")</f>
        <v>0</v>
      </c>
      <c r="X84" s="17">
        <f ca="1">IFERROR(DATA[[#This Row],[B_P]]/(DATA[[#This Row],[B_P]]+DATA[[#This Row],[B_F]]),0)</f>
        <v>0</v>
      </c>
      <c r="Y84" s="1">
        <f ca="1">COUNTIF(INDIRECT("'"&amp;DATA[[#This Row],[Client]]&amp;"'!$P$68:$P$79"),"Fail")</f>
        <v>0</v>
      </c>
      <c r="Z84" s="17">
        <f ca="1">IFERROR(DATA[[#This Row],[B_F]]/(DATA[[#This Row],[B_P]]+DATA[[#This Row],[B_F]]),0)</f>
        <v>0</v>
      </c>
      <c r="AA84" s="25">
        <f ca="1">SUM(DATA[[#This Row],[A_P]],DATA[[#This Row],[A_F]],DATA[[#This Row],[PL_P]],DATA[[#This Row],[PL_F]],DATA[[#This Row],[PN_P]],DATA[[#This Row],[PN_F]],DATA[[#This Row],[OD_P]],DATA[[#This Row],[OD_F]],DATA[[#This Row],[SS_P]],DATA[[#This Row],[SS_F]],DATA[[#This Row],[B_P]],DATA[[#This Row],[B_F]])</f>
        <v>0</v>
      </c>
      <c r="AB84">
        <f ca="1">SUM(DATA[[#This Row],[A_P]],DATA[[#This Row],[PL_P]],DATA[[#This Row],[PN_P]],DATA[[#This Row],[OD_P]],DATA[[#This Row],[SS_P]],DATA[[#This Row],[B_P]])</f>
        <v>0</v>
      </c>
      <c r="AC84" s="27">
        <f ca="1">IFERROR(DATA[[#This Row],[Total_P]]/DATA[[#This Row],[Total]],0)</f>
        <v>0</v>
      </c>
      <c r="AD84">
        <f ca="1">SUM(DATA[[#This Row],[A_F]],DATA[[#This Row],[PL_F]],DATA[[#This Row],[PN_F]],DATA[[#This Row],[OD_F]],DATA[[#This Row],[SS_F]],DATA[[#This Row],[B_F]])</f>
        <v>0</v>
      </c>
      <c r="AE84" s="27">
        <f ca="1">IFERROR(DATA[[#This Row],[Total_F]]/DATA[[#This Row],[Total]],0)</f>
        <v>0</v>
      </c>
      <c r="AF84" s="1" t="str">
        <f ca="1">IF(DATA[[#This Row],[Total_P%]]&gt;0.9,"Yes","No")</f>
        <v>No</v>
      </c>
      <c r="AG84" s="24">
        <f>SUMIFS(H109:H708,N109:N708,"Yes",M109:M708,DATA[[#This Row],[Client]])</f>
        <v>0</v>
      </c>
      <c r="AH84" s="1">
        <f>COUNTIFS(N108:N707,"Yes",M108:M707,DATA[[#This Row],[Client]])</f>
        <v>0</v>
      </c>
      <c r="AI84" s="1">
        <f>COUNTIFS(I109:I708,"&lt;&gt;0",M109:M708,DATA[[#This Row],[Client]])</f>
        <v>0</v>
      </c>
      <c r="AJ84" s="1" t="e">
        <f>VLOOKUP(DATA[[#This Row],[Client]],#REF!,4,FALSE)</f>
        <v>#REF!</v>
      </c>
      <c r="AK84" s="1">
        <f ca="1">DATA[[#This Row],[A_P]]+DATA[[#This Row],[A_F]]</f>
        <v>0</v>
      </c>
      <c r="AL84" s="1">
        <f ca="1">DATA[[#This Row],[PL_P]]+DATA[[#This Row],[PL_F]]</f>
        <v>0</v>
      </c>
      <c r="AM84" s="1">
        <f ca="1">DATA[[#This Row],[PN_P]]+DATA[[#This Row],[PN_F]]</f>
        <v>0</v>
      </c>
      <c r="AN84" s="1">
        <f ca="1">DATA[[#This Row],[OD_P]]+DATA[[#This Row],[OD_F]]</f>
        <v>0</v>
      </c>
      <c r="AO84" s="1">
        <f ca="1">DATA[[#This Row],[SS_P]]+DATA[[#This Row],[SS_F]]</f>
        <v>0</v>
      </c>
      <c r="AP84" s="1">
        <f ca="1">DATA[[#This Row],[B_P]]+DATA[[#This Row],[B_F]]</f>
        <v>0</v>
      </c>
      <c r="AQ84" s="1"/>
    </row>
    <row r="85" spans="1:82" ht="15" x14ac:dyDescent="0.2">
      <c r="A85" s="6" t="s">
        <v>34</v>
      </c>
      <c r="B85" s="6" t="str">
        <f>VLOOKUP(DATA[[#This Row],[Client]],S115:T135,2,FALSE)</f>
        <v>No</v>
      </c>
      <c r="C85" s="1">
        <f ca="1">COUNTIF(INDIRECT("'"&amp;DATA[[#This Row],[Client]]&amp;"'!$p$9:$p$19"),"Pass")</f>
        <v>0</v>
      </c>
      <c r="D85" s="17">
        <f ca="1">IFERROR(DATA[[#This Row],[A_P]]/(DATA[[#This Row],[A_P]]+DATA[[#This Row],[A_F]]),0)</f>
        <v>0</v>
      </c>
      <c r="E85" s="1">
        <f ca="1">COUNTIF(INDIRECT("'"&amp;DATA[[#This Row],[Client]]&amp;"'!$p$9:$p$19"),"Fail")</f>
        <v>0</v>
      </c>
      <c r="F85" s="17">
        <f ca="1">IFERROR(DATA[[#This Row],[A_F]]/(DATA[[#This Row],[A_P]]+DATA[[#This Row],[A_F]]),0)</f>
        <v>0</v>
      </c>
      <c r="G85" s="1">
        <f ca="1">COUNTIF(INDIRECT("'"&amp;DATA[[#This Row],[Client]]&amp;"'!$P$24:$P$27"),"Pass")</f>
        <v>0</v>
      </c>
      <c r="H85" s="17">
        <f ca="1">IFERROR(DATA[[#This Row],[PL_P]]/(DATA[[#This Row],[PL_P]]+DATA[[#This Row],[PL_F]]),0)</f>
        <v>0</v>
      </c>
      <c r="I85" s="1">
        <f ca="1">COUNTIF(INDIRECT("'"&amp;DATA[[#This Row],[Client]]&amp;"'!$P$24:$P$27"),"Fail")</f>
        <v>0</v>
      </c>
      <c r="J85" s="17">
        <f ca="1">IFERROR(DATA[[#This Row],[PL_F]]/(DATA[[#This Row],[PL_P]]+DATA[[#This Row],[PL_F]]),0)</f>
        <v>0</v>
      </c>
      <c r="K85" s="1">
        <f ca="1">COUNTIF(INDIRECT("'"&amp;DATA[[#This Row],[Client]]&amp;"'!$P$32:$P$43"),"Pass")</f>
        <v>0</v>
      </c>
      <c r="L85" s="17">
        <f ca="1">IFERROR(DATA[[#This Row],[PN_P]]/(DATA[[#This Row],[PN_P]]+DATA[[#This Row],[PN_F]]),0)</f>
        <v>0</v>
      </c>
      <c r="M85" s="1">
        <f ca="1">COUNTIF(INDIRECT("'"&amp;DATA[[#This Row],[Client]]&amp;"'!$P$32:$P$43"),"Fail")</f>
        <v>0</v>
      </c>
      <c r="N85" s="17">
        <f ca="1">IFERROR(DATA[[#This Row],[PN_F]]/(DATA[[#This Row],[PN_P]]+DATA[[#This Row],[PN_F]]),0)</f>
        <v>0</v>
      </c>
      <c r="O85" s="1">
        <f ca="1">COUNTIF(INDIRECT("'"&amp;DATA[[#This Row],[Client]]&amp;"'!p48:$p$55"),"Pass")</f>
        <v>0</v>
      </c>
      <c r="P85" s="17">
        <f ca="1">IFERROR(DATA[[#This Row],[OD_P]]/(DATA[[#This Row],[OD_P]]+DATA[[#This Row],[OD_F]]),0)</f>
        <v>0</v>
      </c>
      <c r="Q85" s="1">
        <f ca="1">COUNTIF(INDIRECT("'"&amp;DATA[[#This Row],[Client]]&amp;"'!N48:$P$54"),"Fail")</f>
        <v>0</v>
      </c>
      <c r="R85" s="17">
        <f ca="1">IFERROR(DATA[[#This Row],[OD_F]]/(DATA[[#This Row],[OD_P]]+DATA[[#This Row],[OD_F]]),0)</f>
        <v>0</v>
      </c>
      <c r="S85" s="1">
        <f ca="1">COUNTIF(INDIRECT("'"&amp;DATA[[#This Row],[Client]]&amp;"'!$P$59:$P$63"),"Pass")</f>
        <v>0</v>
      </c>
      <c r="T85" s="17">
        <f ca="1">IFERROR(DATA[[#This Row],[SS_P]]/(DATA[[#This Row],[SS_P]]+DATA[[#This Row],[SS_F]]),0)</f>
        <v>0</v>
      </c>
      <c r="U85" s="1">
        <f ca="1">COUNTIF(INDIRECT("'"&amp;DATA[[#This Row],[Client]]&amp;"'!$P$59:$P$63"),"Fail")</f>
        <v>0</v>
      </c>
      <c r="V85" s="17">
        <f ca="1">IFERROR(DATA[[#This Row],[SS_F]]/(DATA[[#This Row],[SS_P]]+DATA[[#This Row],[SS_F]]),0)</f>
        <v>0</v>
      </c>
      <c r="W85" s="1">
        <f ca="1">COUNTIF(INDIRECT("'"&amp;DATA[[#This Row],[Client]]&amp;"'!$P$68:$P$79"),"Pass")</f>
        <v>0</v>
      </c>
      <c r="X85" s="17">
        <f ca="1">IFERROR(DATA[[#This Row],[B_P]]/(DATA[[#This Row],[B_P]]+DATA[[#This Row],[B_F]]),0)</f>
        <v>0</v>
      </c>
      <c r="Y85" s="1">
        <f ca="1">COUNTIF(INDIRECT("'"&amp;DATA[[#This Row],[Client]]&amp;"'!$P$68:$P$79"),"Fail")</f>
        <v>0</v>
      </c>
      <c r="Z85" s="17">
        <f ca="1">IFERROR(DATA[[#This Row],[B_F]]/(DATA[[#This Row],[B_P]]+DATA[[#This Row],[B_F]]),0)</f>
        <v>0</v>
      </c>
      <c r="AA85" s="25">
        <f ca="1">SUM(DATA[[#This Row],[A_P]],DATA[[#This Row],[A_F]],DATA[[#This Row],[PL_P]],DATA[[#This Row],[PL_F]],DATA[[#This Row],[PN_P]],DATA[[#This Row],[PN_F]],DATA[[#This Row],[OD_P]],DATA[[#This Row],[OD_F]],DATA[[#This Row],[SS_P]],DATA[[#This Row],[SS_F]],DATA[[#This Row],[B_P]],DATA[[#This Row],[B_F]])</f>
        <v>0</v>
      </c>
      <c r="AB85">
        <f ca="1">SUM(DATA[[#This Row],[A_P]],DATA[[#This Row],[PL_P]],DATA[[#This Row],[PN_P]],DATA[[#This Row],[OD_P]],DATA[[#This Row],[SS_P]],DATA[[#This Row],[B_P]])</f>
        <v>0</v>
      </c>
      <c r="AC85" s="27">
        <f ca="1">IFERROR(DATA[[#This Row],[Total_P]]/DATA[[#This Row],[Total]],0)</f>
        <v>0</v>
      </c>
      <c r="AD85">
        <f ca="1">SUM(DATA[[#This Row],[A_F]],DATA[[#This Row],[PL_F]],DATA[[#This Row],[PN_F]],DATA[[#This Row],[OD_F]],DATA[[#This Row],[SS_F]],DATA[[#This Row],[B_F]])</f>
        <v>0</v>
      </c>
      <c r="AE85" s="27">
        <f ca="1">IFERROR(DATA[[#This Row],[Total_F]]/DATA[[#This Row],[Total]],0)</f>
        <v>0</v>
      </c>
      <c r="AF85" s="1" t="str">
        <f ca="1">IF(DATA[[#This Row],[Total_P%]]&gt;0.9,"Yes","No")</f>
        <v>No</v>
      </c>
      <c r="AG85" s="24">
        <f>SUMIFS(H110:H709,N110:N709,"Yes",M110:M709,DATA[[#This Row],[Client]])</f>
        <v>0</v>
      </c>
      <c r="AH85" s="1">
        <f>COUNTIFS(N109:N708,"Yes",M109:M708,DATA[[#This Row],[Client]])</f>
        <v>0</v>
      </c>
      <c r="AI85" s="1">
        <f>COUNTIFS(I110:I709,"&lt;&gt;0",M110:M709,DATA[[#This Row],[Client]])</f>
        <v>0</v>
      </c>
      <c r="AJ85" s="1" t="e">
        <f>VLOOKUP(DATA[[#This Row],[Client]],#REF!,4,FALSE)</f>
        <v>#REF!</v>
      </c>
      <c r="AK85" s="1">
        <f ca="1">DATA[[#This Row],[A_P]]+DATA[[#This Row],[A_F]]</f>
        <v>0</v>
      </c>
      <c r="AL85" s="1">
        <f ca="1">DATA[[#This Row],[PL_P]]+DATA[[#This Row],[PL_F]]</f>
        <v>0</v>
      </c>
      <c r="AM85" s="1">
        <f ca="1">DATA[[#This Row],[PN_P]]+DATA[[#This Row],[PN_F]]</f>
        <v>0</v>
      </c>
      <c r="AN85" s="1">
        <f ca="1">DATA[[#This Row],[OD_P]]+DATA[[#This Row],[OD_F]]</f>
        <v>0</v>
      </c>
      <c r="AO85" s="1">
        <f ca="1">DATA[[#This Row],[SS_P]]+DATA[[#This Row],[SS_F]]</f>
        <v>0</v>
      </c>
      <c r="AP85" s="1">
        <f ca="1">DATA[[#This Row],[B_P]]+DATA[[#This Row],[B_F]]</f>
        <v>0</v>
      </c>
      <c r="AQ85" s="1"/>
    </row>
    <row r="86" spans="1:82" ht="15" x14ac:dyDescent="0.2">
      <c r="A86" s="6" t="s">
        <v>184</v>
      </c>
      <c r="B86" s="6"/>
      <c r="C86" s="1">
        <f ca="1">SUBTOTAL(109,DATA[A_P])</f>
        <v>0</v>
      </c>
      <c r="D86" s="1"/>
      <c r="E86" s="1">
        <f ca="1">SUBTOTAL(109,DATA[A_F])</f>
        <v>0</v>
      </c>
      <c r="F86" s="1"/>
      <c r="G86" s="1">
        <f ca="1">SUBTOTAL(109,DATA[PL_P])</f>
        <v>0</v>
      </c>
      <c r="H86" s="1"/>
      <c r="I86" s="1">
        <f ca="1">SUBTOTAL(109,DATA[PL_F])</f>
        <v>0</v>
      </c>
      <c r="J86" s="1"/>
      <c r="K86" s="1">
        <f ca="1">SUBTOTAL(109,DATA[PN_P])</f>
        <v>0</v>
      </c>
      <c r="L86" s="1"/>
      <c r="M86" s="1">
        <f ca="1">SUBTOTAL(109,DATA[PN_F])</f>
        <v>0</v>
      </c>
      <c r="N86" s="1"/>
      <c r="O86" s="1">
        <f ca="1">SUBTOTAL(109,DATA[OD_P])</f>
        <v>0</v>
      </c>
      <c r="P86" s="1"/>
      <c r="Q86" s="1">
        <f ca="1">SUBTOTAL(109,DATA[OD_F])</f>
        <v>0</v>
      </c>
      <c r="R86" s="1"/>
      <c r="S86" s="1">
        <f ca="1">SUBTOTAL(109,DATA[SS_P])</f>
        <v>0</v>
      </c>
      <c r="T86" s="1"/>
      <c r="U86" s="1">
        <f ca="1">SUBTOTAL(109,DATA[SS_F])</f>
        <v>0</v>
      </c>
      <c r="V86" s="1"/>
      <c r="W86" s="1">
        <f ca="1">SUBTOTAL(109,DATA[B_P])</f>
        <v>0</v>
      </c>
      <c r="X86" s="1"/>
      <c r="Y86" s="1">
        <f ca="1">SUBTOTAL(109,DATA[B_F])</f>
        <v>0</v>
      </c>
      <c r="Z86" s="1"/>
      <c r="AA86" s="1"/>
      <c r="AB86">
        <f ca="1">SUBTOTAL(109,DATA[Total_P])</f>
        <v>0</v>
      </c>
      <c r="AC86" s="6"/>
      <c r="AD86">
        <f ca="1">SUBTOTAL(109,DATA[Total_F])</f>
        <v>0</v>
      </c>
      <c r="AE86" s="6"/>
      <c r="AF86" s="1"/>
      <c r="AG86" s="24">
        <f>SUBTOTAL(109,DATA[Cost Disallowed])</f>
        <v>0</v>
      </c>
      <c r="AH86" s="1">
        <f>SUBTOTAL(109,DATA[Disallowances])</f>
        <v>0</v>
      </c>
      <c r="AI86" s="1">
        <f>SUBTOTAL(109,DATA[Claim Corrections])</f>
        <v>0</v>
      </c>
      <c r="AJ86" s="1"/>
      <c r="AK86" s="1"/>
      <c r="AL86" s="1"/>
      <c r="AM86" s="1"/>
      <c r="AN86" s="1"/>
      <c r="AO86" s="1"/>
      <c r="AP86" s="1"/>
      <c r="AQ86" s="1"/>
    </row>
    <row r="88" spans="1:82" x14ac:dyDescent="0.2">
      <c r="B88" t="s">
        <v>371</v>
      </c>
      <c r="C88">
        <f ca="1">SUM(DATA[[#Totals],[A_P]]+DATA[[#Totals],[PL_P]]+DATA[[#Totals],[PN_P]]+DATA[[#Totals],[OD_P]]+DATA[[#Totals],[SS_P]]+DATA[[#Totals],[B_P]])</f>
        <v>0</v>
      </c>
      <c r="S88" s="42" t="s">
        <v>59</v>
      </c>
      <c r="T88" s="305">
        <f ca="1">U120</f>
        <v>0</v>
      </c>
      <c r="Z88" s="6" t="s">
        <v>371</v>
      </c>
      <c r="AB88">
        <f ca="1">DATA[[#Totals],[Total_P]]</f>
        <v>0</v>
      </c>
    </row>
    <row r="89" spans="1:82" x14ac:dyDescent="0.2">
      <c r="S89" s="43" t="s">
        <v>60</v>
      </c>
      <c r="T89" s="305">
        <f ca="1">AG120</f>
        <v>0</v>
      </c>
      <c r="Z89" s="6" t="s">
        <v>377</v>
      </c>
      <c r="AB89">
        <f ca="1">DATA[[#Totals],[Total_F]]</f>
        <v>0</v>
      </c>
    </row>
    <row r="90" spans="1:82" x14ac:dyDescent="0.2">
      <c r="S90" s="43" t="s">
        <v>661</v>
      </c>
      <c r="T90" s="305">
        <f>AL120</f>
        <v>0</v>
      </c>
      <c r="Z90" s="6" t="s">
        <v>373</v>
      </c>
      <c r="AB90">
        <f ca="1">SUM(AB88:AB89)</f>
        <v>0</v>
      </c>
    </row>
    <row r="91" spans="1:82" ht="30" x14ac:dyDescent="0.2">
      <c r="A91" s="28" t="s">
        <v>53</v>
      </c>
      <c r="B91" s="28" t="s">
        <v>510</v>
      </c>
      <c r="C91" s="28" t="s">
        <v>87</v>
      </c>
      <c r="D91" s="28" t="s">
        <v>88</v>
      </c>
      <c r="E91" s="28" t="s">
        <v>89</v>
      </c>
      <c r="F91" s="28" t="s">
        <v>90</v>
      </c>
      <c r="G91" s="28" t="s">
        <v>200</v>
      </c>
      <c r="H91" s="29" t="s">
        <v>201</v>
      </c>
      <c r="I91" s="30" t="s">
        <v>91</v>
      </c>
      <c r="J91" s="31" t="s">
        <v>95</v>
      </c>
      <c r="K91" s="30" t="s">
        <v>92</v>
      </c>
      <c r="L91" s="28" t="s">
        <v>86</v>
      </c>
      <c r="M91" s="28" t="s">
        <v>202</v>
      </c>
      <c r="N91" s="28" t="s">
        <v>98</v>
      </c>
      <c r="O91" s="28" t="s">
        <v>97</v>
      </c>
      <c r="P91" s="28" t="s">
        <v>96</v>
      </c>
      <c r="Q91" s="52"/>
      <c r="S91" s="44" t="s">
        <v>61</v>
      </c>
      <c r="T91" s="305">
        <f ca="1">AQ120</f>
        <v>0</v>
      </c>
      <c r="Z91" s="6" t="s">
        <v>374</v>
      </c>
      <c r="AB91" t="e">
        <f ca="1">DATA[[#Totals],[Total_P]]/AB90</f>
        <v>#DIV/0!</v>
      </c>
    </row>
    <row r="92" spans="1:82" x14ac:dyDescent="0.2">
      <c r="A92" s="68">
        <v>1</v>
      </c>
      <c r="B92" s="349">
        <f>'Client 1'!T9</f>
        <v>0</v>
      </c>
      <c r="C92" s="2">
        <f>'Client 1'!U9</f>
        <v>0</v>
      </c>
      <c r="D92" s="2">
        <f>'Client 1'!V9</f>
        <v>0</v>
      </c>
      <c r="E92" s="2">
        <f>'Client 1'!W9</f>
        <v>0</v>
      </c>
      <c r="F92" s="350">
        <f>'Client 1'!X9</f>
        <v>0</v>
      </c>
      <c r="G92" s="2">
        <f>'Client 1'!Y9</f>
        <v>0</v>
      </c>
      <c r="H92" s="2">
        <f>'Client 1'!Z9</f>
        <v>0</v>
      </c>
      <c r="I92" s="2">
        <f>'Client 1'!AA9</f>
        <v>0</v>
      </c>
      <c r="J92" s="2">
        <f>'Client 1'!AB9</f>
        <v>0</v>
      </c>
      <c r="K92" s="2">
        <f>'Client 1'!AC9</f>
        <v>0</v>
      </c>
      <c r="L92" s="2" cm="1">
        <f t="array" aca="1" ref="L92" ca="1">IF(B92=0,0,INDIRECT("MRN_"&amp;A92))</f>
        <v>0</v>
      </c>
      <c r="M92" s="2">
        <f t="shared" ref="M92:M155" si="51">IF(B92=0,0,"Client_"&amp;A92)</f>
        <v>0</v>
      </c>
      <c r="N92" s="2" t="str">
        <f t="shared" ref="N92:N155" si="52">IF(J92=0,"No","Yes")</f>
        <v>No</v>
      </c>
      <c r="O92" s="2" t="str">
        <f t="shared" ref="O92:O155" si="53">IF(I92=0,"No","Yes")</f>
        <v>No</v>
      </c>
      <c r="P92" s="2" t="str" cm="1">
        <f t="array" aca="1" ref="P92" ca="1">IF(OR(INDIRECT("MRN_"&amp;A92)="N/A",B92=0),"No","Yes")</f>
        <v>No</v>
      </c>
      <c r="S92" s="43" t="s">
        <v>62</v>
      </c>
      <c r="T92" s="305">
        <f ca="1">BD120</f>
        <v>0</v>
      </c>
    </row>
    <row r="93" spans="1:82" x14ac:dyDescent="0.2">
      <c r="A93" s="68">
        <v>1</v>
      </c>
      <c r="B93" s="349">
        <f>'Client 1'!T10</f>
        <v>0</v>
      </c>
      <c r="C93" s="2">
        <f>'Client 1'!U10</f>
        <v>0</v>
      </c>
      <c r="D93" s="2">
        <f>'Client 1'!V10</f>
        <v>0</v>
      </c>
      <c r="E93" s="2">
        <f>'Client 1'!W10</f>
        <v>0</v>
      </c>
      <c r="F93" s="350">
        <f>'Client 1'!X10</f>
        <v>0</v>
      </c>
      <c r="G93" s="2">
        <f>'Client 1'!Y10</f>
        <v>0</v>
      </c>
      <c r="H93" s="2">
        <f>'Client 1'!Z10</f>
        <v>0</v>
      </c>
      <c r="I93" s="2">
        <f>'Client 1'!AA10</f>
        <v>0</v>
      </c>
      <c r="J93" s="2">
        <f>'Client 1'!AB10</f>
        <v>0</v>
      </c>
      <c r="K93" s="2">
        <f>'Client 1'!AC10</f>
        <v>0</v>
      </c>
      <c r="L93" s="2" cm="1">
        <f t="array" aca="1" ref="L93" ca="1">IF(B93=0,0,INDIRECT("MRN_"&amp;A93))</f>
        <v>0</v>
      </c>
      <c r="M93" s="2">
        <f t="shared" si="51"/>
        <v>0</v>
      </c>
      <c r="N93" s="2" t="str">
        <f t="shared" si="52"/>
        <v>No</v>
      </c>
      <c r="O93" s="2" t="str">
        <f t="shared" si="53"/>
        <v>No</v>
      </c>
      <c r="P93" s="2" t="str" cm="1">
        <f t="array" aca="1" ref="P93" ca="1">IF(OR(INDIRECT("MRN_"&amp;A93)="N/A",B93=0),"No","Yes")</f>
        <v>No</v>
      </c>
      <c r="S93" s="44" t="s">
        <v>63</v>
      </c>
      <c r="T93" s="305">
        <f ca="1">BM120</f>
        <v>0</v>
      </c>
    </row>
    <row r="94" spans="1:82" x14ac:dyDescent="0.2">
      <c r="A94" s="68">
        <v>1</v>
      </c>
      <c r="B94" s="349">
        <f>'Client 1'!T11</f>
        <v>0</v>
      </c>
      <c r="C94" s="2">
        <f>'Client 1'!U11</f>
        <v>0</v>
      </c>
      <c r="D94" s="2">
        <f>'Client 1'!V11</f>
        <v>0</v>
      </c>
      <c r="E94" s="2">
        <f>'Client 1'!W11</f>
        <v>0</v>
      </c>
      <c r="F94" s="350">
        <f>'Client 1'!X11</f>
        <v>0</v>
      </c>
      <c r="G94" s="2">
        <f>'Client 1'!Y11</f>
        <v>0</v>
      </c>
      <c r="H94" s="2">
        <f>'Client 1'!Z11</f>
        <v>0</v>
      </c>
      <c r="I94" s="2">
        <f>'Client 1'!AA11</f>
        <v>0</v>
      </c>
      <c r="J94" s="2">
        <f>'Client 1'!AB11</f>
        <v>0</v>
      </c>
      <c r="K94" s="2">
        <f>'Client 1'!AC11</f>
        <v>0</v>
      </c>
      <c r="L94" s="2" cm="1">
        <f t="array" aca="1" ref="L94" ca="1">IF(B94=0,0,INDIRECT("MRN_"&amp;A94))</f>
        <v>0</v>
      </c>
      <c r="M94" s="2">
        <f t="shared" si="51"/>
        <v>0</v>
      </c>
      <c r="N94" s="2" t="str">
        <f t="shared" si="52"/>
        <v>No</v>
      </c>
      <c r="O94" s="2" t="str">
        <f t="shared" si="53"/>
        <v>No</v>
      </c>
      <c r="P94" s="2" t="str" cm="1">
        <f t="array" aca="1" ref="P94" ca="1">IF(OR(INDIRECT("MRN_"&amp;A94)="N/A",B94=0),"No","Yes")</f>
        <v>No</v>
      </c>
      <c r="S94" s="43" t="s">
        <v>64</v>
      </c>
      <c r="T94" s="305">
        <f ca="1">BT120</f>
        <v>0</v>
      </c>
    </row>
    <row r="95" spans="1:82" x14ac:dyDescent="0.2">
      <c r="A95" s="68">
        <v>1</v>
      </c>
      <c r="B95" s="349">
        <f>'Client 1'!T12</f>
        <v>0</v>
      </c>
      <c r="C95" s="2">
        <f>'Client 1'!U12</f>
        <v>0</v>
      </c>
      <c r="D95" s="2">
        <f>'Client 1'!V12</f>
        <v>0</v>
      </c>
      <c r="E95" s="2">
        <f>'Client 1'!W12</f>
        <v>0</v>
      </c>
      <c r="F95" s="350">
        <f>'Client 1'!X12</f>
        <v>0</v>
      </c>
      <c r="G95" s="2">
        <f>'Client 1'!Y12</f>
        <v>0</v>
      </c>
      <c r="H95" s="2">
        <f>'Client 1'!Z12</f>
        <v>0</v>
      </c>
      <c r="I95" s="2">
        <f>'Client 1'!AA12</f>
        <v>0</v>
      </c>
      <c r="J95" s="2">
        <f>'Client 1'!AB12</f>
        <v>0</v>
      </c>
      <c r="K95" s="2">
        <f>'Client 1'!AC12</f>
        <v>0</v>
      </c>
      <c r="L95" s="2" cm="1">
        <f t="array" aca="1" ref="L95" ca="1">IF(B95=0,0,INDIRECT("MRN_"&amp;A95))</f>
        <v>0</v>
      </c>
      <c r="M95" s="2">
        <f t="shared" si="51"/>
        <v>0</v>
      </c>
      <c r="N95" s="2" t="str">
        <f t="shared" si="52"/>
        <v>No</v>
      </c>
      <c r="O95" s="2" t="str">
        <f t="shared" si="53"/>
        <v>No</v>
      </c>
      <c r="P95" s="2" t="str" cm="1">
        <f t="array" aca="1" ref="P95" ca="1">IF(OR(INDIRECT("MRN_"&amp;A95)="N/A",B95=0),"No","Yes")</f>
        <v>No</v>
      </c>
    </row>
    <row r="96" spans="1:82" ht="15" customHeight="1" x14ac:dyDescent="0.2">
      <c r="A96" s="68">
        <v>1</v>
      </c>
      <c r="B96" s="349">
        <f>'Client 1'!T13</f>
        <v>0</v>
      </c>
      <c r="C96" s="2">
        <f>'Client 1'!U13</f>
        <v>0</v>
      </c>
      <c r="D96" s="2">
        <f>'Client 1'!V13</f>
        <v>0</v>
      </c>
      <c r="E96" s="2">
        <f>'Client 1'!W13</f>
        <v>0</v>
      </c>
      <c r="F96" s="350">
        <f>'Client 1'!X13</f>
        <v>0</v>
      </c>
      <c r="G96" s="2">
        <f>'Client 1'!Y13</f>
        <v>0</v>
      </c>
      <c r="H96" s="2">
        <f>'Client 1'!Z13</f>
        <v>0</v>
      </c>
      <c r="I96" s="2">
        <f>'Client 1'!AA13</f>
        <v>0</v>
      </c>
      <c r="J96" s="2">
        <f>'Client 1'!AB13</f>
        <v>0</v>
      </c>
      <c r="K96" s="2">
        <f>'Client 1'!AC13</f>
        <v>0</v>
      </c>
      <c r="L96" s="2" cm="1">
        <f t="array" aca="1" ref="L96" ca="1">IF(B96=0,0,INDIRECT("MRN_"&amp;A96))</f>
        <v>0</v>
      </c>
      <c r="M96" s="2">
        <f t="shared" si="51"/>
        <v>0</v>
      </c>
      <c r="N96" s="2" t="str">
        <f t="shared" si="52"/>
        <v>No</v>
      </c>
      <c r="O96" s="2" t="str">
        <f t="shared" si="53"/>
        <v>No</v>
      </c>
      <c r="P96" s="2" t="str" cm="1">
        <f t="array" aca="1" ref="P96" ca="1">IF(OR(INDIRECT("MRN_"&amp;A96)="N/A",B96=0),"No","Yes")</f>
        <v>No</v>
      </c>
      <c r="R96" s="94"/>
      <c r="S96" s="28" t="s">
        <v>53</v>
      </c>
      <c r="T96" s="28" t="s">
        <v>96</v>
      </c>
      <c r="U96" s="28" t="s">
        <v>203</v>
      </c>
      <c r="V96" s="28" t="s">
        <v>204</v>
      </c>
      <c r="W96" s="28" t="s">
        <v>205</v>
      </c>
      <c r="X96" s="28" t="s">
        <v>206</v>
      </c>
      <c r="Y96" s="28" t="s">
        <v>207</v>
      </c>
      <c r="Z96" s="28" t="s">
        <v>208</v>
      </c>
      <c r="AA96" s="28" t="s">
        <v>209</v>
      </c>
      <c r="AB96" s="28" t="s">
        <v>210</v>
      </c>
      <c r="AC96" s="28" t="s">
        <v>211</v>
      </c>
      <c r="AD96" s="28" t="s">
        <v>212</v>
      </c>
      <c r="AE96" s="28" t="s">
        <v>657</v>
      </c>
      <c r="AF96" s="28" t="s">
        <v>213</v>
      </c>
      <c r="AG96" s="28" t="s">
        <v>214</v>
      </c>
      <c r="AH96" s="28" t="s">
        <v>215</v>
      </c>
      <c r="AI96" s="28" t="s">
        <v>216</v>
      </c>
      <c r="AJ96" s="28" t="s">
        <v>217</v>
      </c>
      <c r="AK96" s="28" t="s">
        <v>218</v>
      </c>
      <c r="AL96" s="28" t="s">
        <v>474</v>
      </c>
      <c r="AM96" s="304" t="s">
        <v>466</v>
      </c>
      <c r="AN96" s="304" t="s">
        <v>471</v>
      </c>
      <c r="AO96" s="304" t="s">
        <v>472</v>
      </c>
      <c r="AP96" s="304" t="s">
        <v>473</v>
      </c>
      <c r="AQ96" s="28" t="s">
        <v>219</v>
      </c>
      <c r="AR96" s="28" t="s">
        <v>220</v>
      </c>
      <c r="AS96" s="28" t="s">
        <v>133</v>
      </c>
      <c r="AT96" s="28" t="s">
        <v>221</v>
      </c>
      <c r="AU96" s="28" t="s">
        <v>222</v>
      </c>
      <c r="AV96" s="28" t="s">
        <v>223</v>
      </c>
      <c r="AW96" s="28" t="s">
        <v>224</v>
      </c>
      <c r="AX96" s="28" t="s">
        <v>225</v>
      </c>
      <c r="AY96" s="28" t="s">
        <v>226</v>
      </c>
      <c r="AZ96" s="28" t="s">
        <v>227</v>
      </c>
      <c r="BA96" s="28" t="s">
        <v>228</v>
      </c>
      <c r="BB96" s="28" t="s">
        <v>229</v>
      </c>
      <c r="BC96" s="28" t="s">
        <v>230</v>
      </c>
      <c r="BD96" s="28" t="s">
        <v>231</v>
      </c>
      <c r="BE96" s="28" t="s">
        <v>232</v>
      </c>
      <c r="BF96" s="28" t="s">
        <v>233</v>
      </c>
      <c r="BG96" s="28" t="s">
        <v>458</v>
      </c>
      <c r="BH96" s="28" t="s">
        <v>234</v>
      </c>
      <c r="BI96" s="28" t="s">
        <v>235</v>
      </c>
      <c r="BJ96" s="28" t="s">
        <v>460</v>
      </c>
      <c r="BK96" s="28" t="s">
        <v>236</v>
      </c>
      <c r="BL96" s="28" t="s">
        <v>237</v>
      </c>
      <c r="BM96" s="28" t="s">
        <v>238</v>
      </c>
      <c r="BN96" s="28" t="s">
        <v>239</v>
      </c>
      <c r="BO96" s="28" t="s">
        <v>240</v>
      </c>
      <c r="BP96" s="28" t="s">
        <v>241</v>
      </c>
      <c r="BQ96" s="28" t="s">
        <v>542</v>
      </c>
      <c r="BR96" s="28" t="s">
        <v>242</v>
      </c>
      <c r="BS96" s="28" t="s">
        <v>243</v>
      </c>
      <c r="BT96" s="28" t="s">
        <v>244</v>
      </c>
      <c r="BU96" s="304" t="s">
        <v>245</v>
      </c>
      <c r="BV96" s="304" t="s">
        <v>246</v>
      </c>
      <c r="BW96" s="304" t="s">
        <v>247</v>
      </c>
      <c r="BX96" s="304" t="s">
        <v>248</v>
      </c>
      <c r="BY96" s="304" t="s">
        <v>249</v>
      </c>
      <c r="BZ96" s="304" t="s">
        <v>250</v>
      </c>
      <c r="CA96" s="304" t="s">
        <v>251</v>
      </c>
      <c r="CB96" s="304" t="s">
        <v>252</v>
      </c>
      <c r="CC96" s="304" t="s">
        <v>253</v>
      </c>
      <c r="CD96" s="304" t="s">
        <v>254</v>
      </c>
    </row>
    <row r="97" spans="1:82" ht="15" x14ac:dyDescent="0.2">
      <c r="A97" s="68">
        <v>1</v>
      </c>
      <c r="B97" s="349">
        <f>'Client 1'!T14</f>
        <v>0</v>
      </c>
      <c r="C97" s="2">
        <f>'Client 1'!U14</f>
        <v>0</v>
      </c>
      <c r="D97" s="2">
        <f>'Client 1'!V14</f>
        <v>0</v>
      </c>
      <c r="E97" s="2">
        <f>'Client 1'!W14</f>
        <v>0</v>
      </c>
      <c r="F97" s="350">
        <f>'Client 1'!X14</f>
        <v>0</v>
      </c>
      <c r="G97" s="2">
        <f>'Client 1'!Y14</f>
        <v>0</v>
      </c>
      <c r="H97" s="2">
        <f>'Client 1'!Z14</f>
        <v>0</v>
      </c>
      <c r="I97" s="2">
        <f>'Client 1'!AA14</f>
        <v>0</v>
      </c>
      <c r="J97" s="2">
        <f>'Client 1'!AB14</f>
        <v>0</v>
      </c>
      <c r="K97" s="2">
        <f>'Client 1'!AC14</f>
        <v>0</v>
      </c>
      <c r="L97" s="2" cm="1">
        <f t="array" aca="1" ref="L97" ca="1">IF(B97=0,0,INDIRECT("MRN_"&amp;A97))</f>
        <v>0</v>
      </c>
      <c r="M97" s="2">
        <f t="shared" si="51"/>
        <v>0</v>
      </c>
      <c r="N97" s="2" t="str">
        <f t="shared" si="52"/>
        <v>No</v>
      </c>
      <c r="O97" s="2" t="str">
        <f t="shared" si="53"/>
        <v>No</v>
      </c>
      <c r="P97" s="2" t="str" cm="1">
        <f t="array" aca="1" ref="P97" ca="1">IF(OR(INDIRECT("MRN_"&amp;A97)="N/A",B97=0),"No","Yes")</f>
        <v>No</v>
      </c>
      <c r="R97" s="94"/>
      <c r="S97" s="2" t="s">
        <v>13</v>
      </c>
      <c r="T97" s="2" t="str">
        <f>IF(MRN_1="N/A","No","Yes")</f>
        <v>No</v>
      </c>
      <c r="V97" s="2" t="str">
        <f ca="1">VLOOKUP(V$96,INDIRECT("'"&amp;$S97&amp;"'!$C$9:$P$79"),14,FALSE)</f>
        <v/>
      </c>
      <c r="W97" s="2" t="str">
        <f t="shared" ref="W97:CA97" ca="1" si="54">VLOOKUP(W$96,INDIRECT("'"&amp;$S97&amp;"'!$C$9:$P$79"),14,FALSE)</f>
        <v/>
      </c>
      <c r="X97" s="2" t="str">
        <f t="shared" ca="1" si="54"/>
        <v/>
      </c>
      <c r="Y97" s="2" t="str">
        <f t="shared" ca="1" si="54"/>
        <v/>
      </c>
      <c r="Z97" s="2" t="str">
        <f t="shared" ca="1" si="54"/>
        <v/>
      </c>
      <c r="AA97" s="2" t="str">
        <f t="shared" ca="1" si="54"/>
        <v/>
      </c>
      <c r="AB97" s="2" t="str">
        <f t="shared" ca="1" si="54"/>
        <v/>
      </c>
      <c r="AC97" s="2" t="str">
        <f t="shared" ca="1" si="54"/>
        <v/>
      </c>
      <c r="AD97" s="2" t="str">
        <f t="shared" ca="1" si="54"/>
        <v/>
      </c>
      <c r="AE97" s="2" t="str">
        <f t="shared" ca="1" si="54"/>
        <v/>
      </c>
      <c r="AF97" s="2" t="str">
        <f t="shared" ca="1" si="54"/>
        <v/>
      </c>
      <c r="AG97" s="2"/>
      <c r="AH97" s="2" t="str">
        <f t="shared" ca="1" si="54"/>
        <v/>
      </c>
      <c r="AI97" s="2" t="str">
        <f t="shared" ca="1" si="54"/>
        <v/>
      </c>
      <c r="AJ97" s="2" t="str">
        <f t="shared" ca="1" si="54"/>
        <v/>
      </c>
      <c r="AK97" s="2" t="str">
        <f t="shared" ca="1" si="54"/>
        <v/>
      </c>
      <c r="AL97" s="2"/>
      <c r="AM97" s="2" t="str">
        <f>'Client 1'!P$30</f>
        <v/>
      </c>
      <c r="AN97" s="2" t="str">
        <f>'Client 1'!P$31</f>
        <v/>
      </c>
      <c r="AO97" s="2" t="str">
        <f>'Client 1'!P$32</f>
        <v/>
      </c>
      <c r="AP97" s="2" t="str">
        <f>'Client 1'!P$33</f>
        <v/>
      </c>
      <c r="AQ97" s="2"/>
      <c r="AR97" s="2" t="str">
        <f t="shared" ca="1" si="54"/>
        <v/>
      </c>
      <c r="AS97" s="2" t="str">
        <f t="shared" ca="1" si="54"/>
        <v/>
      </c>
      <c r="AT97" s="2" t="str">
        <f t="shared" ca="1" si="54"/>
        <v/>
      </c>
      <c r="AU97" s="2" t="str">
        <f t="shared" ca="1" si="54"/>
        <v/>
      </c>
      <c r="AV97" s="2" t="str">
        <f t="shared" ca="1" si="54"/>
        <v/>
      </c>
      <c r="AW97" s="2" t="str">
        <f t="shared" ca="1" si="54"/>
        <v/>
      </c>
      <c r="AX97" s="2" t="str">
        <f t="shared" ca="1" si="54"/>
        <v/>
      </c>
      <c r="AY97" s="2" t="str">
        <f t="shared" ca="1" si="54"/>
        <v/>
      </c>
      <c r="AZ97" s="2" t="str">
        <f t="shared" ca="1" si="54"/>
        <v/>
      </c>
      <c r="BA97" s="2" t="str">
        <f t="shared" ca="1" si="54"/>
        <v/>
      </c>
      <c r="BB97" s="2" t="str">
        <f t="shared" ca="1" si="54"/>
        <v/>
      </c>
      <c r="BC97" s="2" t="str">
        <f t="shared" ca="1" si="54"/>
        <v/>
      </c>
      <c r="BD97" s="2"/>
      <c r="BE97" s="2" t="str">
        <f t="shared" ca="1" si="54"/>
        <v/>
      </c>
      <c r="BF97" s="2" t="str">
        <f t="shared" ca="1" si="54"/>
        <v/>
      </c>
      <c r="BG97" s="2" t="str">
        <f t="shared" ca="1" si="54"/>
        <v/>
      </c>
      <c r="BH97" s="2" t="str">
        <f t="shared" ca="1" si="54"/>
        <v/>
      </c>
      <c r="BI97" s="2" t="str">
        <f t="shared" ca="1" si="54"/>
        <v/>
      </c>
      <c r="BJ97" s="2" t="str">
        <f t="shared" ca="1" si="54"/>
        <v/>
      </c>
      <c r="BK97" s="2" t="str">
        <f t="shared" ca="1" si="54"/>
        <v/>
      </c>
      <c r="BL97" s="2" t="str">
        <f>'Client 1'!$P$60</f>
        <v/>
      </c>
      <c r="BM97" s="2"/>
      <c r="BN97" s="2" t="str">
        <f t="shared" ca="1" si="54"/>
        <v/>
      </c>
      <c r="BO97" s="2" t="str">
        <f t="shared" ca="1" si="54"/>
        <v/>
      </c>
      <c r="BP97" s="2" t="str">
        <f t="shared" ca="1" si="54"/>
        <v/>
      </c>
      <c r="BQ97" s="2" t="str">
        <f t="shared" ca="1" si="54"/>
        <v/>
      </c>
      <c r="BR97" s="2" t="str">
        <f t="shared" ca="1" si="54"/>
        <v/>
      </c>
      <c r="BS97" s="2" t="str">
        <f>'Client 1'!P69</f>
        <v/>
      </c>
      <c r="BU97" s="2" t="str">
        <f t="shared" ca="1" si="54"/>
        <v/>
      </c>
      <c r="BV97" s="2" t="str">
        <f t="shared" ca="1" si="54"/>
        <v/>
      </c>
      <c r="BW97" s="2" t="str">
        <f t="shared" ca="1" si="54"/>
        <v/>
      </c>
      <c r="BX97" s="2" t="str">
        <f t="shared" ca="1" si="54"/>
        <v/>
      </c>
      <c r="BY97" s="2" t="str">
        <f t="shared" ca="1" si="54"/>
        <v/>
      </c>
      <c r="BZ97" s="2" t="str">
        <f t="shared" ca="1" si="54"/>
        <v/>
      </c>
      <c r="CA97" s="2" t="str">
        <f t="shared" ca="1" si="54"/>
        <v/>
      </c>
      <c r="CB97" s="2" t="str">
        <f>'Client 1'!$P$80</f>
        <v/>
      </c>
      <c r="CC97" s="2" t="str">
        <f>'Client 1'!P$81</f>
        <v/>
      </c>
      <c r="CD97" s="2" t="str">
        <f>'Client 1'!P$82</f>
        <v/>
      </c>
    </row>
    <row r="98" spans="1:82" ht="15" x14ac:dyDescent="0.2">
      <c r="A98" s="68">
        <v>1</v>
      </c>
      <c r="B98" s="349">
        <f>'Client 1'!T15</f>
        <v>0</v>
      </c>
      <c r="C98" s="2">
        <f>'Client 1'!U15</f>
        <v>0</v>
      </c>
      <c r="D98" s="2">
        <f>'Client 1'!V15</f>
        <v>0</v>
      </c>
      <c r="E98" s="2">
        <f>'Client 1'!W15</f>
        <v>0</v>
      </c>
      <c r="F98" s="350">
        <f>'Client 1'!X15</f>
        <v>0</v>
      </c>
      <c r="G98" s="2">
        <f>'Client 1'!Y15</f>
        <v>0</v>
      </c>
      <c r="H98" s="2">
        <f>'Client 1'!Z15</f>
        <v>0</v>
      </c>
      <c r="I98" s="2">
        <f>'Client 1'!AA15</f>
        <v>0</v>
      </c>
      <c r="J98" s="2">
        <f>'Client 1'!AB15</f>
        <v>0</v>
      </c>
      <c r="K98" s="2">
        <f>'Client 1'!AC15</f>
        <v>0</v>
      </c>
      <c r="L98" s="2" cm="1">
        <f t="array" aca="1" ref="L98" ca="1">IF(B98=0,0,INDIRECT("MRN_"&amp;A98))</f>
        <v>0</v>
      </c>
      <c r="M98" s="2">
        <f t="shared" si="51"/>
        <v>0</v>
      </c>
      <c r="N98" s="2" t="str">
        <f t="shared" si="52"/>
        <v>No</v>
      </c>
      <c r="O98" s="2" t="str">
        <f t="shared" si="53"/>
        <v>No</v>
      </c>
      <c r="P98" s="2" t="str" cm="1">
        <f t="array" aca="1" ref="P98" ca="1">IF(OR(INDIRECT("MRN_"&amp;A98)="N/A",B98=0),"No","Yes")</f>
        <v>No</v>
      </c>
      <c r="R98" s="94"/>
      <c r="S98" s="2" t="s">
        <v>15</v>
      </c>
      <c r="T98" s="2" t="str">
        <f>IF(MRN_2="N/A","No","Yes")</f>
        <v>No</v>
      </c>
      <c r="U98" s="2"/>
      <c r="V98" s="2" t="str">
        <f t="shared" ref="V98:AK114" ca="1" si="55">VLOOKUP(V$96,INDIRECT("'"&amp;$S98&amp;"'!$C$9:$P$79"),14,FALSE)</f>
        <v/>
      </c>
      <c r="W98" s="2" t="str">
        <f t="shared" ca="1" si="55"/>
        <v/>
      </c>
      <c r="X98" s="2" t="str">
        <f t="shared" ca="1" si="55"/>
        <v/>
      </c>
      <c r="Y98" s="2" t="str">
        <f t="shared" ca="1" si="55"/>
        <v/>
      </c>
      <c r="Z98" s="2" t="str">
        <f t="shared" ca="1" si="55"/>
        <v/>
      </c>
      <c r="AA98" s="2" t="str">
        <f t="shared" ca="1" si="55"/>
        <v/>
      </c>
      <c r="AB98" s="2" t="str">
        <f t="shared" ca="1" si="55"/>
        <v/>
      </c>
      <c r="AC98" s="2" t="str">
        <f t="shared" ca="1" si="55"/>
        <v/>
      </c>
      <c r="AD98" s="2" t="str">
        <f t="shared" ca="1" si="55"/>
        <v/>
      </c>
      <c r="AE98" s="2" t="str">
        <f t="shared" ca="1" si="55"/>
        <v/>
      </c>
      <c r="AF98" s="2" t="str">
        <f t="shared" ca="1" si="55"/>
        <v/>
      </c>
      <c r="AG98" s="2"/>
      <c r="AH98" s="2" t="str">
        <f t="shared" ca="1" si="55"/>
        <v/>
      </c>
      <c r="AI98" s="2" t="str">
        <f t="shared" ca="1" si="55"/>
        <v/>
      </c>
      <c r="AJ98" s="2" t="str">
        <f t="shared" ca="1" si="55"/>
        <v/>
      </c>
      <c r="AK98" s="2" t="str">
        <f t="shared" ca="1" si="55"/>
        <v/>
      </c>
      <c r="AL98" s="2"/>
      <c r="AM98" s="2" t="str">
        <f>'Client 2'!P$30</f>
        <v/>
      </c>
      <c r="AN98" s="2" t="str">
        <f>'Client 2'!P$31</f>
        <v/>
      </c>
      <c r="AO98" s="2" t="str">
        <f>'Client 2'!P$32</f>
        <v/>
      </c>
      <c r="AP98" s="2" t="str">
        <f>'Client 2'!P$33</f>
        <v/>
      </c>
      <c r="AQ98" s="2"/>
      <c r="AR98" s="2" t="str">
        <f t="shared" ref="AR98:BG114" ca="1" si="56">VLOOKUP(AR$96,INDIRECT("'"&amp;$S98&amp;"'!$C$9:$P$79"),14,FALSE)</f>
        <v/>
      </c>
      <c r="AS98" s="2" t="str">
        <f t="shared" ca="1" si="56"/>
        <v/>
      </c>
      <c r="AT98" s="2" t="str">
        <f t="shared" ca="1" si="56"/>
        <v/>
      </c>
      <c r="AU98" s="2" t="str">
        <f t="shared" ca="1" si="56"/>
        <v/>
      </c>
      <c r="AV98" s="2" t="str">
        <f t="shared" ca="1" si="56"/>
        <v/>
      </c>
      <c r="AW98" s="2" t="str">
        <f t="shared" ca="1" si="56"/>
        <v/>
      </c>
      <c r="AX98" s="2" t="str">
        <f t="shared" ca="1" si="56"/>
        <v/>
      </c>
      <c r="AY98" s="2" t="str">
        <f t="shared" ca="1" si="56"/>
        <v/>
      </c>
      <c r="AZ98" s="2" t="str">
        <f t="shared" ca="1" si="56"/>
        <v/>
      </c>
      <c r="BA98" s="2" t="str">
        <f t="shared" ca="1" si="56"/>
        <v/>
      </c>
      <c r="BB98" s="2" t="str">
        <f t="shared" ca="1" si="56"/>
        <v/>
      </c>
      <c r="BC98" s="2" t="str">
        <f t="shared" ca="1" si="56"/>
        <v/>
      </c>
      <c r="BD98" s="2"/>
      <c r="BE98" s="2" t="str">
        <f t="shared" ca="1" si="56"/>
        <v/>
      </c>
      <c r="BF98" s="2" t="str">
        <f t="shared" ca="1" si="56"/>
        <v/>
      </c>
      <c r="BG98" s="2" t="str">
        <f t="shared" ca="1" si="56"/>
        <v/>
      </c>
      <c r="BH98" s="2" t="str">
        <f t="shared" ref="BH98:BY116" ca="1" si="57">VLOOKUP(BH$96,INDIRECT("'"&amp;$S98&amp;"'!$C$9:$P$79"),14,FALSE)</f>
        <v/>
      </c>
      <c r="BI98" s="2" t="str">
        <f t="shared" ca="1" si="57"/>
        <v/>
      </c>
      <c r="BJ98" s="2" t="str">
        <f t="shared" ca="1" si="57"/>
        <v/>
      </c>
      <c r="BK98" s="2" t="str">
        <f t="shared" ca="1" si="57"/>
        <v/>
      </c>
      <c r="BL98" s="2" t="str">
        <f>'Client 2'!$P$55</f>
        <v/>
      </c>
      <c r="BM98" s="2"/>
      <c r="BN98" s="2" t="str">
        <f t="shared" ca="1" si="57"/>
        <v/>
      </c>
      <c r="BO98" s="2" t="str">
        <f t="shared" ca="1" si="57"/>
        <v/>
      </c>
      <c r="BP98" s="2" t="str">
        <f t="shared" ca="1" si="57"/>
        <v/>
      </c>
      <c r="BQ98" s="2" t="str">
        <f t="shared" ca="1" si="57"/>
        <v/>
      </c>
      <c r="BR98" s="2" t="str">
        <f t="shared" ca="1" si="57"/>
        <v/>
      </c>
      <c r="BS98" s="2" t="str">
        <f>'Client 2'!P66</f>
        <v/>
      </c>
      <c r="BT98" s="2"/>
      <c r="BU98" s="2" t="str">
        <f t="shared" ca="1" si="57"/>
        <v/>
      </c>
      <c r="BV98" s="2" t="str">
        <f t="shared" ca="1" si="57"/>
        <v/>
      </c>
      <c r="BW98" s="2" t="str">
        <f t="shared" ca="1" si="57"/>
        <v/>
      </c>
      <c r="BX98" s="2" t="str">
        <f t="shared" ca="1" si="57"/>
        <v/>
      </c>
      <c r="BY98" s="2" t="str">
        <f t="shared" ca="1" si="57"/>
        <v/>
      </c>
      <c r="BZ98" s="2" t="str">
        <f t="shared" ref="BZ98:CA115" ca="1" si="58">VLOOKUP(BZ$96,INDIRECT("'"&amp;$S98&amp;"'!$C$9:$P$79"),14,FALSE)</f>
        <v/>
      </c>
      <c r="CA98" s="2" t="str">
        <f t="shared" ca="1" si="58"/>
        <v/>
      </c>
      <c r="CB98" s="2" t="str">
        <f>'Client 2'!$P$80</f>
        <v/>
      </c>
      <c r="CC98" s="2" t="str">
        <f>'Client 2'!P$81</f>
        <v/>
      </c>
      <c r="CD98" s="2" t="str">
        <f>'Client 2'!P$82</f>
        <v/>
      </c>
    </row>
    <row r="99" spans="1:82" ht="15" x14ac:dyDescent="0.2">
      <c r="A99" s="68">
        <v>1</v>
      </c>
      <c r="B99" s="349">
        <f>'Client 1'!T16</f>
        <v>0</v>
      </c>
      <c r="C99" s="2">
        <f>'Client 1'!U16</f>
        <v>0</v>
      </c>
      <c r="D99" s="2">
        <f>'Client 1'!V16</f>
        <v>0</v>
      </c>
      <c r="E99" s="2">
        <f>'Client 1'!W16</f>
        <v>0</v>
      </c>
      <c r="F99" s="350">
        <f>'Client 1'!X16</f>
        <v>0</v>
      </c>
      <c r="G99" s="2">
        <f>'Client 1'!Y16</f>
        <v>0</v>
      </c>
      <c r="H99" s="2">
        <f>'Client 1'!Z16</f>
        <v>0</v>
      </c>
      <c r="I99" s="2">
        <f>'Client 1'!AA16</f>
        <v>0</v>
      </c>
      <c r="J99" s="2">
        <f>'Client 1'!AB16</f>
        <v>0</v>
      </c>
      <c r="K99" s="2">
        <f>'Client 1'!AC16</f>
        <v>0</v>
      </c>
      <c r="L99" s="2" cm="1">
        <f t="array" aca="1" ref="L99" ca="1">IF(B99=0,0,INDIRECT("MRN_"&amp;A99))</f>
        <v>0</v>
      </c>
      <c r="M99" s="2">
        <f t="shared" si="51"/>
        <v>0</v>
      </c>
      <c r="N99" s="2" t="str">
        <f t="shared" si="52"/>
        <v>No</v>
      </c>
      <c r="O99" s="2" t="str">
        <f t="shared" si="53"/>
        <v>No</v>
      </c>
      <c r="P99" s="2" t="str" cm="1">
        <f t="array" aca="1" ref="P99" ca="1">IF(OR(INDIRECT("MRN_"&amp;A99)="N/A",B99=0),"No","Yes")</f>
        <v>No</v>
      </c>
      <c r="R99" s="94"/>
      <c r="S99" s="2" t="s">
        <v>16</v>
      </c>
      <c r="T99" s="2" t="str">
        <f>IF(MRN_3="N/A","No","Yes")</f>
        <v>No</v>
      </c>
      <c r="U99" s="2"/>
      <c r="V99" s="2" t="str">
        <f t="shared" ca="1" si="55"/>
        <v/>
      </c>
      <c r="W99" s="2" t="str">
        <f t="shared" ca="1" si="55"/>
        <v/>
      </c>
      <c r="X99" s="2" t="str">
        <f t="shared" ca="1" si="55"/>
        <v/>
      </c>
      <c r="Y99" s="2" t="str">
        <f t="shared" ca="1" si="55"/>
        <v/>
      </c>
      <c r="Z99" s="2" t="str">
        <f t="shared" ca="1" si="55"/>
        <v/>
      </c>
      <c r="AA99" s="2" t="str">
        <f t="shared" ca="1" si="55"/>
        <v/>
      </c>
      <c r="AB99" s="2" t="str">
        <f t="shared" ca="1" si="55"/>
        <v/>
      </c>
      <c r="AC99" s="2" t="str">
        <f t="shared" ca="1" si="55"/>
        <v/>
      </c>
      <c r="AD99" s="2" t="str">
        <f t="shared" ca="1" si="55"/>
        <v/>
      </c>
      <c r="AE99" s="2" t="str">
        <f t="shared" ca="1" si="55"/>
        <v/>
      </c>
      <c r="AF99" s="2" t="str">
        <f t="shared" ca="1" si="55"/>
        <v/>
      </c>
      <c r="AG99" s="2"/>
      <c r="AH99" s="2" t="str">
        <f t="shared" ca="1" si="55"/>
        <v/>
      </c>
      <c r="AI99" s="2" t="str">
        <f t="shared" ca="1" si="55"/>
        <v/>
      </c>
      <c r="AJ99" s="2" t="str">
        <f t="shared" ca="1" si="55"/>
        <v/>
      </c>
      <c r="AK99" s="2" t="str">
        <f t="shared" ca="1" si="55"/>
        <v/>
      </c>
      <c r="AL99" s="2"/>
      <c r="AM99" s="2" t="str">
        <f>'Client 3'!P$30</f>
        <v/>
      </c>
      <c r="AN99" s="2" t="str">
        <f>'Client 3'!P$31</f>
        <v/>
      </c>
      <c r="AO99" s="2" t="str">
        <f>'Client 3'!P$32</f>
        <v/>
      </c>
      <c r="AP99" s="2" t="str">
        <f>'Client 3'!P$33</f>
        <v/>
      </c>
      <c r="AQ99" s="2"/>
      <c r="AR99" s="2" t="str">
        <f t="shared" ca="1" si="56"/>
        <v/>
      </c>
      <c r="AS99" s="2" t="str">
        <f t="shared" ca="1" si="56"/>
        <v/>
      </c>
      <c r="AT99" s="2" t="str">
        <f t="shared" ca="1" si="56"/>
        <v/>
      </c>
      <c r="AU99" s="2" t="str">
        <f t="shared" ca="1" si="56"/>
        <v/>
      </c>
      <c r="AV99" s="2" t="str">
        <f t="shared" ca="1" si="56"/>
        <v/>
      </c>
      <c r="AW99" s="2" t="str">
        <f t="shared" ca="1" si="56"/>
        <v/>
      </c>
      <c r="AX99" s="2" t="str">
        <f t="shared" ca="1" si="56"/>
        <v/>
      </c>
      <c r="AY99" s="2" t="str">
        <f t="shared" ca="1" si="56"/>
        <v/>
      </c>
      <c r="AZ99" s="2" t="str">
        <f t="shared" ca="1" si="56"/>
        <v/>
      </c>
      <c r="BA99" s="2" t="str">
        <f t="shared" ca="1" si="56"/>
        <v/>
      </c>
      <c r="BB99" s="2" t="str">
        <f t="shared" ca="1" si="56"/>
        <v/>
      </c>
      <c r="BC99" s="2" t="str">
        <f t="shared" ca="1" si="56"/>
        <v/>
      </c>
      <c r="BD99" s="2"/>
      <c r="BE99" s="2" t="str">
        <f t="shared" ca="1" si="56"/>
        <v/>
      </c>
      <c r="BF99" s="2" t="str">
        <f t="shared" ca="1" si="56"/>
        <v/>
      </c>
      <c r="BG99" s="2" t="str">
        <f t="shared" ca="1" si="56"/>
        <v/>
      </c>
      <c r="BH99" s="2" t="str">
        <f t="shared" ca="1" si="57"/>
        <v/>
      </c>
      <c r="BI99" s="2" t="str">
        <f t="shared" ca="1" si="57"/>
        <v/>
      </c>
      <c r="BJ99" s="2" t="str">
        <f t="shared" ca="1" si="57"/>
        <v/>
      </c>
      <c r="BK99" s="2" t="str">
        <f t="shared" ca="1" si="57"/>
        <v/>
      </c>
      <c r="BL99" s="2" t="str">
        <f>'Client 3'!$P$55</f>
        <v/>
      </c>
      <c r="BM99" s="2"/>
      <c r="BN99" s="2" t="str">
        <f t="shared" ca="1" si="57"/>
        <v/>
      </c>
      <c r="BO99" s="2" t="str">
        <f t="shared" ca="1" si="57"/>
        <v/>
      </c>
      <c r="BP99" s="2" t="str">
        <f t="shared" ca="1" si="57"/>
        <v/>
      </c>
      <c r="BQ99" s="2" t="str">
        <f t="shared" ca="1" si="57"/>
        <v/>
      </c>
      <c r="BR99" s="2" t="str">
        <f t="shared" ca="1" si="57"/>
        <v/>
      </c>
      <c r="BS99" s="2" t="str">
        <f>'Client 3'!P65</f>
        <v/>
      </c>
      <c r="BT99" s="2"/>
      <c r="BU99" s="2" t="str">
        <f t="shared" ca="1" si="57"/>
        <v/>
      </c>
      <c r="BV99" s="2" t="str">
        <f t="shared" ca="1" si="57"/>
        <v/>
      </c>
      <c r="BW99" s="2" t="str">
        <f t="shared" ca="1" si="57"/>
        <v/>
      </c>
      <c r="BX99" s="2" t="str">
        <f t="shared" ca="1" si="57"/>
        <v/>
      </c>
      <c r="BY99" s="2" t="str">
        <f t="shared" ca="1" si="57"/>
        <v/>
      </c>
      <c r="BZ99" s="2" t="str">
        <f t="shared" ca="1" si="58"/>
        <v/>
      </c>
      <c r="CA99" s="2" t="str">
        <f t="shared" ca="1" si="58"/>
        <v/>
      </c>
      <c r="CB99" s="2" t="str">
        <f>'Client 3'!$P$80</f>
        <v/>
      </c>
      <c r="CC99" s="2" t="str">
        <f>'Client 3'!P$81</f>
        <v/>
      </c>
      <c r="CD99" s="2" t="str">
        <f>'Client 3'!P$82</f>
        <v/>
      </c>
    </row>
    <row r="100" spans="1:82" ht="15" x14ac:dyDescent="0.2">
      <c r="A100" s="68">
        <v>1</v>
      </c>
      <c r="B100" s="349">
        <f>'Client 1'!T17</f>
        <v>0</v>
      </c>
      <c r="C100" s="2">
        <f>'Client 1'!U17</f>
        <v>0</v>
      </c>
      <c r="D100" s="2">
        <f>'Client 1'!V17</f>
        <v>0</v>
      </c>
      <c r="E100" s="2">
        <f>'Client 1'!W17</f>
        <v>0</v>
      </c>
      <c r="F100" s="350">
        <f>'Client 1'!X17</f>
        <v>0</v>
      </c>
      <c r="G100" s="2">
        <f>'Client 1'!Y17</f>
        <v>0</v>
      </c>
      <c r="H100" s="2">
        <f>'Client 1'!Z17</f>
        <v>0</v>
      </c>
      <c r="I100" s="2">
        <f>'Client 1'!AA17</f>
        <v>0</v>
      </c>
      <c r="J100" s="2">
        <f>'Client 1'!AB17</f>
        <v>0</v>
      </c>
      <c r="K100" s="2">
        <f>'Client 1'!AC17</f>
        <v>0</v>
      </c>
      <c r="L100" s="2" cm="1">
        <f t="array" aca="1" ref="L100" ca="1">IF(B100=0,0,INDIRECT("MRN_"&amp;A100))</f>
        <v>0</v>
      </c>
      <c r="M100" s="2">
        <f t="shared" si="51"/>
        <v>0</v>
      </c>
      <c r="N100" s="2" t="str">
        <f t="shared" si="52"/>
        <v>No</v>
      </c>
      <c r="O100" s="2" t="str">
        <f t="shared" si="53"/>
        <v>No</v>
      </c>
      <c r="P100" s="2" t="str" cm="1">
        <f t="array" aca="1" ref="P100" ca="1">IF(OR(INDIRECT("MRN_"&amp;A100)="N/A",B100=0),"No","Yes")</f>
        <v>No</v>
      </c>
      <c r="R100" s="97"/>
      <c r="S100" s="2" t="s">
        <v>18</v>
      </c>
      <c r="T100" s="2" t="str">
        <f>IF(MRN_4="N/A","No","Yes")</f>
        <v>No</v>
      </c>
      <c r="U100" s="2"/>
      <c r="V100" s="2" t="str">
        <f t="shared" ca="1" si="55"/>
        <v/>
      </c>
      <c r="W100" s="2" t="str">
        <f t="shared" ca="1" si="55"/>
        <v/>
      </c>
      <c r="X100" s="2" t="str">
        <f t="shared" ca="1" si="55"/>
        <v/>
      </c>
      <c r="Y100" s="2" t="str">
        <f t="shared" ca="1" si="55"/>
        <v/>
      </c>
      <c r="Z100" s="2" t="str">
        <f t="shared" ca="1" si="55"/>
        <v/>
      </c>
      <c r="AA100" s="2" t="str">
        <f t="shared" ca="1" si="55"/>
        <v/>
      </c>
      <c r="AB100" s="2" t="str">
        <f t="shared" ca="1" si="55"/>
        <v/>
      </c>
      <c r="AC100" s="2" t="str">
        <f t="shared" ca="1" si="55"/>
        <v/>
      </c>
      <c r="AD100" s="2" t="str">
        <f t="shared" ca="1" si="55"/>
        <v/>
      </c>
      <c r="AE100" s="2" t="str">
        <f t="shared" ca="1" si="55"/>
        <v/>
      </c>
      <c r="AF100" s="2" t="str">
        <f t="shared" ca="1" si="55"/>
        <v/>
      </c>
      <c r="AG100" s="2"/>
      <c r="AH100" s="2" t="str">
        <f t="shared" ca="1" si="55"/>
        <v/>
      </c>
      <c r="AI100" s="2" t="str">
        <f t="shared" ca="1" si="55"/>
        <v/>
      </c>
      <c r="AJ100" s="2" t="str">
        <f t="shared" ca="1" si="55"/>
        <v/>
      </c>
      <c r="AK100" s="2" t="str">
        <f t="shared" ca="1" si="55"/>
        <v/>
      </c>
      <c r="AL100" s="2"/>
      <c r="AM100" s="2" t="str">
        <f>'Client 4'!P$30</f>
        <v/>
      </c>
      <c r="AN100" s="2" t="str">
        <f>'Client 4'!P$31</f>
        <v/>
      </c>
      <c r="AO100" s="2" t="str">
        <f>'Client 4'!P$32</f>
        <v/>
      </c>
      <c r="AP100" s="2" t="str">
        <f>'Client 4'!P$33</f>
        <v/>
      </c>
      <c r="AQ100" s="2"/>
      <c r="AR100" s="2" t="str">
        <f t="shared" ca="1" si="56"/>
        <v/>
      </c>
      <c r="AS100" s="2" t="str">
        <f t="shared" ca="1" si="56"/>
        <v/>
      </c>
      <c r="AT100" s="2" t="str">
        <f t="shared" ca="1" si="56"/>
        <v/>
      </c>
      <c r="AU100" s="2" t="str">
        <f t="shared" ca="1" si="56"/>
        <v/>
      </c>
      <c r="AV100" s="2" t="str">
        <f t="shared" ca="1" si="56"/>
        <v/>
      </c>
      <c r="AW100" s="2" t="str">
        <f t="shared" ca="1" si="56"/>
        <v/>
      </c>
      <c r="AX100" s="2" t="str">
        <f t="shared" ca="1" si="56"/>
        <v/>
      </c>
      <c r="AY100" s="2" t="str">
        <f t="shared" ca="1" si="56"/>
        <v/>
      </c>
      <c r="AZ100" s="2" t="str">
        <f t="shared" ca="1" si="56"/>
        <v/>
      </c>
      <c r="BA100" s="2" t="str">
        <f t="shared" ca="1" si="56"/>
        <v/>
      </c>
      <c r="BB100" s="2" t="str">
        <f t="shared" ca="1" si="56"/>
        <v/>
      </c>
      <c r="BC100" s="2" t="str">
        <f t="shared" ca="1" si="56"/>
        <v/>
      </c>
      <c r="BD100" s="2"/>
      <c r="BE100" s="2" t="str">
        <f t="shared" ca="1" si="56"/>
        <v/>
      </c>
      <c r="BF100" s="2" t="str">
        <f t="shared" ca="1" si="56"/>
        <v/>
      </c>
      <c r="BG100" s="2" t="str">
        <f t="shared" ca="1" si="56"/>
        <v/>
      </c>
      <c r="BH100" s="2" t="str">
        <f t="shared" ca="1" si="57"/>
        <v/>
      </c>
      <c r="BI100" s="2" t="str">
        <f t="shared" ca="1" si="57"/>
        <v/>
      </c>
      <c r="BJ100" s="2" t="str">
        <f t="shared" ca="1" si="57"/>
        <v/>
      </c>
      <c r="BK100" s="2" t="str">
        <f t="shared" ca="1" si="57"/>
        <v/>
      </c>
      <c r="BL100" s="2" t="str">
        <f>'Client 4'!$P$55</f>
        <v/>
      </c>
      <c r="BM100" s="2"/>
      <c r="BN100" s="2" t="str">
        <f t="shared" ca="1" si="57"/>
        <v/>
      </c>
      <c r="BO100" s="2" t="str">
        <f t="shared" ca="1" si="57"/>
        <v/>
      </c>
      <c r="BP100" s="2" t="str">
        <f t="shared" ca="1" si="57"/>
        <v/>
      </c>
      <c r="BQ100" s="2" t="str">
        <f t="shared" ca="1" si="57"/>
        <v/>
      </c>
      <c r="BR100" s="2" t="str">
        <f t="shared" ca="1" si="57"/>
        <v/>
      </c>
      <c r="BS100" s="2" t="str">
        <f>'Client 4'!P65</f>
        <v/>
      </c>
      <c r="BT100" s="2"/>
      <c r="BU100" s="2" t="str">
        <f t="shared" ca="1" si="57"/>
        <v/>
      </c>
      <c r="BV100" s="2" t="str">
        <f t="shared" ca="1" si="57"/>
        <v/>
      </c>
      <c r="BW100" s="2" t="str">
        <f t="shared" ca="1" si="57"/>
        <v/>
      </c>
      <c r="BX100" s="2" t="str">
        <f t="shared" ca="1" si="57"/>
        <v/>
      </c>
      <c r="BY100" s="2" t="str">
        <f t="shared" ca="1" si="57"/>
        <v/>
      </c>
      <c r="BZ100" s="2" t="str">
        <f t="shared" ca="1" si="58"/>
        <v/>
      </c>
      <c r="CA100" s="2" t="str">
        <f t="shared" ca="1" si="58"/>
        <v/>
      </c>
      <c r="CB100" s="2" t="str">
        <f>'Client 4'!$P$80</f>
        <v/>
      </c>
      <c r="CC100" s="2" t="str">
        <f>'Client 4'!P$81</f>
        <v/>
      </c>
      <c r="CD100" s="2" t="str">
        <f>'Client 4'!P$82</f>
        <v/>
      </c>
    </row>
    <row r="101" spans="1:82" ht="15" x14ac:dyDescent="0.2">
      <c r="A101" s="68">
        <v>1</v>
      </c>
      <c r="B101" s="349">
        <f>'Client 1'!T18</f>
        <v>0</v>
      </c>
      <c r="C101" s="2">
        <f>'Client 1'!U18</f>
        <v>0</v>
      </c>
      <c r="D101" s="2">
        <f>'Client 1'!V18</f>
        <v>0</v>
      </c>
      <c r="E101" s="2">
        <f>'Client 1'!W18</f>
        <v>0</v>
      </c>
      <c r="F101" s="350">
        <f>'Client 1'!X18</f>
        <v>0</v>
      </c>
      <c r="G101" s="2">
        <f>'Client 1'!Y18</f>
        <v>0</v>
      </c>
      <c r="H101" s="2">
        <f>'Client 1'!Z18</f>
        <v>0</v>
      </c>
      <c r="I101" s="2">
        <f>'Client 1'!AA18</f>
        <v>0</v>
      </c>
      <c r="J101" s="2">
        <f>'Client 1'!AB18</f>
        <v>0</v>
      </c>
      <c r="K101" s="2">
        <f>'Client 1'!AC18</f>
        <v>0</v>
      </c>
      <c r="L101" s="2" cm="1">
        <f t="array" aca="1" ref="L101" ca="1">IF(B101=0,0,INDIRECT("MRN_"&amp;A101))</f>
        <v>0</v>
      </c>
      <c r="M101" s="2">
        <f t="shared" si="51"/>
        <v>0</v>
      </c>
      <c r="N101" s="2" t="str">
        <f t="shared" si="52"/>
        <v>No</v>
      </c>
      <c r="O101" s="2" t="str">
        <f t="shared" si="53"/>
        <v>No</v>
      </c>
      <c r="P101" s="2" t="str" cm="1">
        <f t="array" aca="1" ref="P101" ca="1">IF(OR(INDIRECT("MRN_"&amp;A101)="N/A",B101=0),"No","Yes")</f>
        <v>No</v>
      </c>
      <c r="R101" s="97"/>
      <c r="S101" s="2" t="s">
        <v>19</v>
      </c>
      <c r="T101" s="2" t="str">
        <f>IF(MRN_5="N/A","No","Yes")</f>
        <v>No</v>
      </c>
      <c r="U101" s="2"/>
      <c r="V101" s="2" t="str">
        <f t="shared" ca="1" si="55"/>
        <v/>
      </c>
      <c r="W101" s="2" t="str">
        <f t="shared" ca="1" si="55"/>
        <v/>
      </c>
      <c r="X101" s="2" t="str">
        <f t="shared" ca="1" si="55"/>
        <v/>
      </c>
      <c r="Y101" s="2" t="str">
        <f t="shared" ca="1" si="55"/>
        <v/>
      </c>
      <c r="Z101" s="2" t="str">
        <f t="shared" ca="1" si="55"/>
        <v/>
      </c>
      <c r="AA101" s="2" t="str">
        <f t="shared" ca="1" si="55"/>
        <v/>
      </c>
      <c r="AB101" s="2" t="str">
        <f t="shared" ca="1" si="55"/>
        <v/>
      </c>
      <c r="AC101" s="2" t="str">
        <f t="shared" ca="1" si="55"/>
        <v/>
      </c>
      <c r="AD101" s="2" t="str">
        <f t="shared" ca="1" si="55"/>
        <v/>
      </c>
      <c r="AE101" s="2" t="str">
        <f t="shared" ca="1" si="55"/>
        <v/>
      </c>
      <c r="AF101" s="2" t="str">
        <f t="shared" ca="1" si="55"/>
        <v/>
      </c>
      <c r="AG101" s="2"/>
      <c r="AH101" s="2" t="str">
        <f t="shared" ca="1" si="55"/>
        <v/>
      </c>
      <c r="AI101" s="2" t="str">
        <f t="shared" ca="1" si="55"/>
        <v/>
      </c>
      <c r="AJ101" s="2" t="str">
        <f t="shared" ca="1" si="55"/>
        <v/>
      </c>
      <c r="AK101" s="2" t="str">
        <f t="shared" ca="1" si="55"/>
        <v/>
      </c>
      <c r="AL101" s="2"/>
      <c r="AM101" s="2" t="str">
        <f>'Client 5'!P$30</f>
        <v/>
      </c>
      <c r="AN101" s="2" t="str">
        <f>'Client 5'!P$31</f>
        <v/>
      </c>
      <c r="AO101" s="2" t="str">
        <f>'Client 5'!P$32</f>
        <v/>
      </c>
      <c r="AP101" s="2" t="str">
        <f>'Client 5'!P$33</f>
        <v/>
      </c>
      <c r="AQ101" s="2"/>
      <c r="AR101" s="2" t="str">
        <f t="shared" ca="1" si="56"/>
        <v/>
      </c>
      <c r="AS101" s="2" t="str">
        <f t="shared" ca="1" si="56"/>
        <v/>
      </c>
      <c r="AT101" s="2" t="str">
        <f t="shared" ca="1" si="56"/>
        <v/>
      </c>
      <c r="AU101" s="2" t="str">
        <f t="shared" ca="1" si="56"/>
        <v/>
      </c>
      <c r="AV101" s="2" t="str">
        <f t="shared" ca="1" si="56"/>
        <v/>
      </c>
      <c r="AW101" s="2" t="str">
        <f t="shared" ca="1" si="56"/>
        <v/>
      </c>
      <c r="AX101" s="2" t="str">
        <f t="shared" ca="1" si="56"/>
        <v/>
      </c>
      <c r="AY101" s="2" t="str">
        <f t="shared" ca="1" si="56"/>
        <v/>
      </c>
      <c r="AZ101" s="2" t="str">
        <f t="shared" ca="1" si="56"/>
        <v/>
      </c>
      <c r="BA101" s="2" t="str">
        <f t="shared" ca="1" si="56"/>
        <v/>
      </c>
      <c r="BB101" s="2" t="str">
        <f t="shared" ca="1" si="56"/>
        <v/>
      </c>
      <c r="BC101" s="2" t="str">
        <f t="shared" ca="1" si="56"/>
        <v/>
      </c>
      <c r="BD101" s="2"/>
      <c r="BE101" s="2" t="str">
        <f t="shared" ca="1" si="56"/>
        <v/>
      </c>
      <c r="BF101" s="2" t="str">
        <f t="shared" ca="1" si="56"/>
        <v/>
      </c>
      <c r="BG101" s="2" t="str">
        <f t="shared" ca="1" si="56"/>
        <v/>
      </c>
      <c r="BH101" s="2" t="str">
        <f t="shared" ca="1" si="57"/>
        <v/>
      </c>
      <c r="BI101" s="2" t="str">
        <f t="shared" ca="1" si="57"/>
        <v/>
      </c>
      <c r="BJ101" s="2" t="str">
        <f t="shared" ca="1" si="57"/>
        <v/>
      </c>
      <c r="BK101" s="2" t="str">
        <f t="shared" ca="1" si="57"/>
        <v/>
      </c>
      <c r="BL101" s="2" t="str">
        <f>'Client 5'!$P$55</f>
        <v/>
      </c>
      <c r="BM101" s="2"/>
      <c r="BN101" s="2" t="str">
        <f t="shared" ca="1" si="57"/>
        <v/>
      </c>
      <c r="BO101" s="2" t="str">
        <f t="shared" ca="1" si="57"/>
        <v/>
      </c>
      <c r="BP101" s="2" t="str">
        <f t="shared" ca="1" si="57"/>
        <v/>
      </c>
      <c r="BQ101" s="2" t="str">
        <f t="shared" ca="1" si="57"/>
        <v/>
      </c>
      <c r="BR101" s="2" t="str">
        <f t="shared" ca="1" si="57"/>
        <v/>
      </c>
      <c r="BS101" s="2" t="str">
        <f>'Client 5'!$P$65</f>
        <v/>
      </c>
      <c r="BT101" s="2"/>
      <c r="BU101" s="2" t="str">
        <f t="shared" ca="1" si="57"/>
        <v/>
      </c>
      <c r="BV101" s="2" t="str">
        <f t="shared" ca="1" si="57"/>
        <v/>
      </c>
      <c r="BW101" s="2" t="str">
        <f t="shared" ca="1" si="57"/>
        <v/>
      </c>
      <c r="BX101" s="2" t="str">
        <f t="shared" ca="1" si="57"/>
        <v/>
      </c>
      <c r="BY101" s="2" t="str">
        <f t="shared" ca="1" si="57"/>
        <v/>
      </c>
      <c r="BZ101" s="2" t="str">
        <f t="shared" ca="1" si="58"/>
        <v/>
      </c>
      <c r="CA101" s="2" t="str">
        <f t="shared" ca="1" si="58"/>
        <v/>
      </c>
      <c r="CB101" s="2" t="str">
        <f>'Client 5'!$P$80</f>
        <v/>
      </c>
      <c r="CC101" s="2" t="str">
        <f>'Client 5'!P$81</f>
        <v/>
      </c>
      <c r="CD101" s="2" t="str">
        <f>'Client 5'!P$82</f>
        <v/>
      </c>
    </row>
    <row r="102" spans="1:82" ht="15" x14ac:dyDescent="0.2">
      <c r="A102" s="68">
        <v>1</v>
      </c>
      <c r="B102" s="349">
        <f>'Client 1'!T19</f>
        <v>0</v>
      </c>
      <c r="C102" s="2">
        <f>'Client 1'!U19</f>
        <v>0</v>
      </c>
      <c r="D102" s="2">
        <f>'Client 1'!V19</f>
        <v>0</v>
      </c>
      <c r="E102" s="2">
        <f>'Client 1'!W19</f>
        <v>0</v>
      </c>
      <c r="F102" s="350">
        <f>'Client 1'!X19</f>
        <v>0</v>
      </c>
      <c r="G102" s="2">
        <f>'Client 1'!Y19</f>
        <v>0</v>
      </c>
      <c r="H102" s="2">
        <f>'Client 1'!Z19</f>
        <v>0</v>
      </c>
      <c r="I102" s="2">
        <f>'Client 1'!AA19</f>
        <v>0</v>
      </c>
      <c r="J102" s="2">
        <f>'Client 1'!AB19</f>
        <v>0</v>
      </c>
      <c r="K102" s="2">
        <f>'Client 1'!AC19</f>
        <v>0</v>
      </c>
      <c r="L102" s="2" cm="1">
        <f t="array" aca="1" ref="L102" ca="1">IF(B102=0,0,INDIRECT("MRN_"&amp;A102))</f>
        <v>0</v>
      </c>
      <c r="M102" s="2">
        <f t="shared" si="51"/>
        <v>0</v>
      </c>
      <c r="N102" s="2" t="str">
        <f t="shared" si="52"/>
        <v>No</v>
      </c>
      <c r="O102" s="2" t="str">
        <f t="shared" si="53"/>
        <v>No</v>
      </c>
      <c r="P102" s="2" t="str" cm="1">
        <f t="array" aca="1" ref="P102" ca="1">IF(OR(INDIRECT("MRN_"&amp;A102)="N/A",B102=0),"No","Yes")</f>
        <v>No</v>
      </c>
      <c r="R102" s="94"/>
      <c r="S102" s="2" t="s">
        <v>20</v>
      </c>
      <c r="T102" s="2" t="str">
        <f>IF(MRN_6="N/A","No","Yes")</f>
        <v>No</v>
      </c>
      <c r="U102" s="2"/>
      <c r="V102" s="2" t="str">
        <f t="shared" ca="1" si="55"/>
        <v/>
      </c>
      <c r="W102" s="2" t="str">
        <f t="shared" ca="1" si="55"/>
        <v/>
      </c>
      <c r="X102" s="2" t="str">
        <f t="shared" ca="1" si="55"/>
        <v/>
      </c>
      <c r="Y102" s="2" t="str">
        <f t="shared" ca="1" si="55"/>
        <v/>
      </c>
      <c r="Z102" s="2" t="str">
        <f t="shared" ca="1" si="55"/>
        <v/>
      </c>
      <c r="AA102" s="2" t="str">
        <f t="shared" ca="1" si="55"/>
        <v/>
      </c>
      <c r="AB102" s="2" t="str">
        <f t="shared" ca="1" si="55"/>
        <v/>
      </c>
      <c r="AC102" s="2" t="str">
        <f t="shared" ca="1" si="55"/>
        <v/>
      </c>
      <c r="AD102" s="2" t="str">
        <f t="shared" ca="1" si="55"/>
        <v/>
      </c>
      <c r="AE102" s="2" t="str">
        <f t="shared" ca="1" si="55"/>
        <v/>
      </c>
      <c r="AF102" s="2" t="str">
        <f t="shared" ca="1" si="55"/>
        <v/>
      </c>
      <c r="AG102" s="2"/>
      <c r="AH102" s="2" t="str">
        <f t="shared" ca="1" si="55"/>
        <v/>
      </c>
      <c r="AI102" s="2" t="str">
        <f t="shared" ca="1" si="55"/>
        <v/>
      </c>
      <c r="AJ102" s="2" t="str">
        <f t="shared" ca="1" si="55"/>
        <v/>
      </c>
      <c r="AK102" s="2" t="str">
        <f t="shared" ca="1" si="55"/>
        <v/>
      </c>
      <c r="AL102" s="2"/>
      <c r="AM102" s="2" t="str">
        <f>'Client 6'!P$30</f>
        <v/>
      </c>
      <c r="AN102" s="2" t="str">
        <f>'Client 6'!P$31</f>
        <v/>
      </c>
      <c r="AO102" s="2" t="str">
        <f>'Client 6'!P$32</f>
        <v/>
      </c>
      <c r="AP102" s="2" t="str">
        <f>'Client 6'!P$33</f>
        <v/>
      </c>
      <c r="AQ102" s="2"/>
      <c r="AR102" s="2" t="str">
        <f t="shared" ca="1" si="56"/>
        <v/>
      </c>
      <c r="AS102" s="2" t="str">
        <f t="shared" ca="1" si="56"/>
        <v/>
      </c>
      <c r="AT102" s="2" t="str">
        <f t="shared" ca="1" si="56"/>
        <v/>
      </c>
      <c r="AU102" s="2" t="str">
        <f t="shared" ca="1" si="56"/>
        <v/>
      </c>
      <c r="AV102" s="2" t="str">
        <f t="shared" ca="1" si="56"/>
        <v/>
      </c>
      <c r="AW102" s="2" t="str">
        <f t="shared" ca="1" si="56"/>
        <v/>
      </c>
      <c r="AX102" s="2" t="str">
        <f t="shared" ca="1" si="56"/>
        <v/>
      </c>
      <c r="AY102" s="2" t="str">
        <f t="shared" ca="1" si="56"/>
        <v/>
      </c>
      <c r="AZ102" s="2" t="str">
        <f t="shared" ca="1" si="56"/>
        <v/>
      </c>
      <c r="BA102" s="2" t="str">
        <f t="shared" ca="1" si="56"/>
        <v/>
      </c>
      <c r="BB102" s="2" t="str">
        <f t="shared" ca="1" si="56"/>
        <v/>
      </c>
      <c r="BC102" s="2" t="str">
        <f t="shared" ca="1" si="56"/>
        <v/>
      </c>
      <c r="BD102" s="2"/>
      <c r="BE102" s="2" t="str">
        <f t="shared" ca="1" si="56"/>
        <v/>
      </c>
      <c r="BF102" s="2" t="str">
        <f t="shared" ca="1" si="56"/>
        <v/>
      </c>
      <c r="BG102" s="2" t="str">
        <f t="shared" ca="1" si="56"/>
        <v/>
      </c>
      <c r="BH102" s="2" t="str">
        <f t="shared" ca="1" si="57"/>
        <v/>
      </c>
      <c r="BI102" s="2" t="str">
        <f t="shared" ca="1" si="57"/>
        <v/>
      </c>
      <c r="BJ102" s="2" t="str">
        <f t="shared" ca="1" si="57"/>
        <v/>
      </c>
      <c r="BK102" s="2" t="str">
        <f t="shared" ca="1" si="57"/>
        <v/>
      </c>
      <c r="BL102" s="2" t="str">
        <f>'Client 6'!$P$55</f>
        <v/>
      </c>
      <c r="BM102" s="2"/>
      <c r="BN102" s="2" t="str">
        <f t="shared" ca="1" si="57"/>
        <v/>
      </c>
      <c r="BO102" s="2" t="str">
        <f t="shared" ca="1" si="57"/>
        <v/>
      </c>
      <c r="BP102" s="2" t="str">
        <f t="shared" ca="1" si="57"/>
        <v/>
      </c>
      <c r="BQ102" s="2" t="str">
        <f t="shared" ca="1" si="57"/>
        <v/>
      </c>
      <c r="BR102" s="2" t="str">
        <f t="shared" ca="1" si="57"/>
        <v/>
      </c>
      <c r="BS102" s="2" t="str">
        <f>'Client 6'!$P$65</f>
        <v/>
      </c>
      <c r="BT102" s="2"/>
      <c r="BU102" s="2" t="str">
        <f t="shared" ca="1" si="57"/>
        <v/>
      </c>
      <c r="BV102" s="2" t="str">
        <f t="shared" ca="1" si="57"/>
        <v/>
      </c>
      <c r="BW102" s="2" t="str">
        <f t="shared" ca="1" si="57"/>
        <v/>
      </c>
      <c r="BX102" s="2" t="str">
        <f t="shared" ca="1" si="57"/>
        <v/>
      </c>
      <c r="BY102" s="2" t="str">
        <f t="shared" ca="1" si="57"/>
        <v/>
      </c>
      <c r="BZ102" s="2" t="str">
        <f t="shared" ca="1" si="58"/>
        <v/>
      </c>
      <c r="CA102" s="2" t="str">
        <f t="shared" ca="1" si="58"/>
        <v/>
      </c>
      <c r="CB102" s="2" t="str">
        <f>'Client 6'!$P$80</f>
        <v/>
      </c>
      <c r="CC102" s="2" t="str">
        <f>'Client 6'!P$81</f>
        <v/>
      </c>
      <c r="CD102" s="2" t="str">
        <f>'Client 6'!P$82</f>
        <v/>
      </c>
    </row>
    <row r="103" spans="1:82" ht="15" x14ac:dyDescent="0.2">
      <c r="A103" s="68">
        <v>1</v>
      </c>
      <c r="B103" s="349">
        <f>'Client 1'!T20</f>
        <v>0</v>
      </c>
      <c r="C103" s="2">
        <f>'Client 1'!U20</f>
        <v>0</v>
      </c>
      <c r="D103" s="2">
        <f>'Client 1'!V20</f>
        <v>0</v>
      </c>
      <c r="E103" s="2">
        <f>'Client 1'!W20</f>
        <v>0</v>
      </c>
      <c r="F103" s="350">
        <f>'Client 1'!X20</f>
        <v>0</v>
      </c>
      <c r="G103" s="2">
        <f>'Client 1'!Y20</f>
        <v>0</v>
      </c>
      <c r="H103" s="2">
        <f>'Client 1'!Z20</f>
        <v>0</v>
      </c>
      <c r="I103" s="2">
        <f>'Client 1'!AA20</f>
        <v>0</v>
      </c>
      <c r="J103" s="2">
        <f>'Client 1'!AB20</f>
        <v>0</v>
      </c>
      <c r="K103" s="2">
        <f>'Client 1'!AC20</f>
        <v>0</v>
      </c>
      <c r="L103" s="2" cm="1">
        <f t="array" aca="1" ref="L103" ca="1">IF(B103=0,0,INDIRECT("MRN_"&amp;A103))</f>
        <v>0</v>
      </c>
      <c r="M103" s="2">
        <f t="shared" si="51"/>
        <v>0</v>
      </c>
      <c r="N103" s="2" t="str">
        <f t="shared" si="52"/>
        <v>No</v>
      </c>
      <c r="O103" s="2" t="str">
        <f t="shared" si="53"/>
        <v>No</v>
      </c>
      <c r="P103" s="2" t="str" cm="1">
        <f t="array" aca="1" ref="P103" ca="1">IF(OR(INDIRECT("MRN_"&amp;A103)="N/A",B103=0),"No","Yes")</f>
        <v>No</v>
      </c>
      <c r="R103" s="97"/>
      <c r="S103" s="2" t="s">
        <v>21</v>
      </c>
      <c r="T103" s="2" t="str">
        <f>IF(MRN_7="N/A","No","Yes")</f>
        <v>No</v>
      </c>
      <c r="U103" s="2"/>
      <c r="V103" s="2" t="str">
        <f t="shared" ca="1" si="55"/>
        <v/>
      </c>
      <c r="W103" s="2" t="str">
        <f t="shared" ca="1" si="55"/>
        <v/>
      </c>
      <c r="X103" s="2" t="str">
        <f t="shared" ca="1" si="55"/>
        <v/>
      </c>
      <c r="Y103" s="2" t="str">
        <f t="shared" ca="1" si="55"/>
        <v/>
      </c>
      <c r="Z103" s="2" t="str">
        <f t="shared" ca="1" si="55"/>
        <v/>
      </c>
      <c r="AA103" s="2" t="str">
        <f t="shared" ca="1" si="55"/>
        <v/>
      </c>
      <c r="AB103" s="2" t="str">
        <f t="shared" ca="1" si="55"/>
        <v/>
      </c>
      <c r="AC103" s="2" t="str">
        <f t="shared" ca="1" si="55"/>
        <v/>
      </c>
      <c r="AD103" s="2" t="str">
        <f t="shared" ca="1" si="55"/>
        <v/>
      </c>
      <c r="AE103" s="2" t="str">
        <f t="shared" ca="1" si="55"/>
        <v/>
      </c>
      <c r="AF103" s="2" t="str">
        <f t="shared" ca="1" si="55"/>
        <v/>
      </c>
      <c r="AG103" s="2"/>
      <c r="AH103" s="2" t="str">
        <f t="shared" ca="1" si="55"/>
        <v/>
      </c>
      <c r="AI103" s="2" t="str">
        <f t="shared" ca="1" si="55"/>
        <v/>
      </c>
      <c r="AJ103" s="2" t="str">
        <f t="shared" ca="1" si="55"/>
        <v/>
      </c>
      <c r="AK103" s="2" t="str">
        <f t="shared" ca="1" si="55"/>
        <v/>
      </c>
      <c r="AL103" s="2"/>
      <c r="AM103" s="2" t="str">
        <f>'Client 7'!P$30</f>
        <v/>
      </c>
      <c r="AN103" s="2" t="str">
        <f>'Client 7'!P$31</f>
        <v/>
      </c>
      <c r="AO103" s="2" t="str">
        <f>'Client 7'!P$32</f>
        <v/>
      </c>
      <c r="AP103" s="2" t="str">
        <f>'Client 7'!P$33</f>
        <v/>
      </c>
      <c r="AQ103" s="2"/>
      <c r="AR103" s="2" t="str">
        <f t="shared" ca="1" si="56"/>
        <v/>
      </c>
      <c r="AS103" s="2" t="str">
        <f t="shared" ca="1" si="56"/>
        <v/>
      </c>
      <c r="AT103" s="2" t="str">
        <f t="shared" ca="1" si="56"/>
        <v/>
      </c>
      <c r="AU103" s="2" t="str">
        <f t="shared" ca="1" si="56"/>
        <v/>
      </c>
      <c r="AV103" s="2" t="str">
        <f t="shared" ca="1" si="56"/>
        <v/>
      </c>
      <c r="AW103" s="2" t="str">
        <f t="shared" ca="1" si="56"/>
        <v/>
      </c>
      <c r="AX103" s="2" t="str">
        <f t="shared" ca="1" si="56"/>
        <v/>
      </c>
      <c r="AY103" s="2" t="str">
        <f t="shared" ca="1" si="56"/>
        <v/>
      </c>
      <c r="AZ103" s="2" t="str">
        <f t="shared" ca="1" si="56"/>
        <v/>
      </c>
      <c r="BA103" s="2" t="str">
        <f t="shared" ca="1" si="56"/>
        <v/>
      </c>
      <c r="BB103" s="2" t="str">
        <f t="shared" ca="1" si="56"/>
        <v/>
      </c>
      <c r="BC103" s="2" t="str">
        <f t="shared" ca="1" si="56"/>
        <v/>
      </c>
      <c r="BD103" s="2"/>
      <c r="BE103" s="2" t="str">
        <f t="shared" ca="1" si="56"/>
        <v/>
      </c>
      <c r="BF103" s="2" t="str">
        <f t="shared" ca="1" si="56"/>
        <v/>
      </c>
      <c r="BG103" s="2" t="str">
        <f t="shared" ca="1" si="56"/>
        <v/>
      </c>
      <c r="BH103" s="2" t="str">
        <f t="shared" ca="1" si="57"/>
        <v/>
      </c>
      <c r="BI103" s="2" t="str">
        <f t="shared" ca="1" si="57"/>
        <v/>
      </c>
      <c r="BJ103" s="2" t="str">
        <f t="shared" ca="1" si="57"/>
        <v/>
      </c>
      <c r="BK103" s="2" t="str">
        <f t="shared" ca="1" si="57"/>
        <v/>
      </c>
      <c r="BL103" s="2" t="str">
        <f>'Client 7'!$P$55</f>
        <v/>
      </c>
      <c r="BM103" s="2"/>
      <c r="BN103" s="2" t="str">
        <f t="shared" ca="1" si="57"/>
        <v/>
      </c>
      <c r="BO103" s="2" t="str">
        <f t="shared" ca="1" si="57"/>
        <v/>
      </c>
      <c r="BP103" s="2" t="str">
        <f t="shared" ca="1" si="57"/>
        <v/>
      </c>
      <c r="BQ103" s="2" t="str">
        <f t="shared" ca="1" si="57"/>
        <v/>
      </c>
      <c r="BR103" s="2" t="str">
        <f t="shared" ca="1" si="57"/>
        <v/>
      </c>
      <c r="BS103" s="2" t="str">
        <f>'Client 7'!$P$65</f>
        <v/>
      </c>
      <c r="BT103" s="2"/>
      <c r="BU103" s="2" t="str">
        <f t="shared" ca="1" si="57"/>
        <v/>
      </c>
      <c r="BV103" s="2" t="str">
        <f t="shared" ca="1" si="57"/>
        <v/>
      </c>
      <c r="BW103" s="2" t="str">
        <f t="shared" ca="1" si="57"/>
        <v/>
      </c>
      <c r="BX103" s="2" t="str">
        <f t="shared" ca="1" si="57"/>
        <v/>
      </c>
      <c r="BY103" s="2" t="str">
        <f t="shared" ca="1" si="57"/>
        <v/>
      </c>
      <c r="BZ103" s="2" t="str">
        <f t="shared" ca="1" si="58"/>
        <v/>
      </c>
      <c r="CA103" s="2" t="str">
        <f t="shared" ca="1" si="58"/>
        <v/>
      </c>
      <c r="CB103" s="2" t="str">
        <f>'Client 7'!$P$80</f>
        <v/>
      </c>
      <c r="CC103" s="2" t="str">
        <f>'Client 7'!P$81</f>
        <v/>
      </c>
      <c r="CD103" s="2" t="str">
        <f>'Client 7'!P$82</f>
        <v/>
      </c>
    </row>
    <row r="104" spans="1:82" ht="15" x14ac:dyDescent="0.2">
      <c r="A104" s="68">
        <v>1</v>
      </c>
      <c r="B104" s="349">
        <f>'Client 1'!T21</f>
        <v>0</v>
      </c>
      <c r="C104" s="2">
        <f>'Client 1'!U21</f>
        <v>0</v>
      </c>
      <c r="D104" s="2">
        <f>'Client 1'!V21</f>
        <v>0</v>
      </c>
      <c r="E104" s="2">
        <f>'Client 1'!W21</f>
        <v>0</v>
      </c>
      <c r="F104" s="350">
        <f>'Client 1'!X21</f>
        <v>0</v>
      </c>
      <c r="G104" s="2">
        <f>'Client 1'!Y21</f>
        <v>0</v>
      </c>
      <c r="H104" s="2">
        <f>'Client 1'!Z21</f>
        <v>0</v>
      </c>
      <c r="I104" s="2">
        <f>'Client 1'!AA21</f>
        <v>0</v>
      </c>
      <c r="J104" s="2">
        <f>'Client 1'!AB21</f>
        <v>0</v>
      </c>
      <c r="K104" s="2">
        <f>'Client 1'!AC21</f>
        <v>0</v>
      </c>
      <c r="L104" s="2" cm="1">
        <f t="array" aca="1" ref="L104" ca="1">IF(B104=0,0,INDIRECT("MRN_"&amp;A104))</f>
        <v>0</v>
      </c>
      <c r="M104" s="2">
        <f t="shared" si="51"/>
        <v>0</v>
      </c>
      <c r="N104" s="2" t="str">
        <f t="shared" si="52"/>
        <v>No</v>
      </c>
      <c r="O104" s="2" t="str">
        <f t="shared" si="53"/>
        <v>No</v>
      </c>
      <c r="P104" s="2" t="str" cm="1">
        <f t="array" aca="1" ref="P104" ca="1">IF(OR(INDIRECT("MRN_"&amp;A104)="N/A",B104=0),"No","Yes")</f>
        <v>No</v>
      </c>
      <c r="R104" s="97"/>
      <c r="S104" s="2" t="s">
        <v>22</v>
      </c>
      <c r="T104" s="2" t="str">
        <f>IF(MRN_8="N/A","No","Yes")</f>
        <v>No</v>
      </c>
      <c r="U104" s="2"/>
      <c r="V104" s="2" t="str">
        <f t="shared" ca="1" si="55"/>
        <v/>
      </c>
      <c r="W104" s="2" t="str">
        <f t="shared" ca="1" si="55"/>
        <v/>
      </c>
      <c r="X104" s="2" t="str">
        <f t="shared" ca="1" si="55"/>
        <v/>
      </c>
      <c r="Y104" s="2" t="str">
        <f t="shared" ca="1" si="55"/>
        <v/>
      </c>
      <c r="Z104" s="2" t="str">
        <f t="shared" ca="1" si="55"/>
        <v/>
      </c>
      <c r="AA104" s="2" t="str">
        <f t="shared" ca="1" si="55"/>
        <v/>
      </c>
      <c r="AB104" s="2" t="str">
        <f t="shared" ca="1" si="55"/>
        <v/>
      </c>
      <c r="AC104" s="2" t="str">
        <f t="shared" ca="1" si="55"/>
        <v/>
      </c>
      <c r="AD104" s="2" t="str">
        <f t="shared" ca="1" si="55"/>
        <v/>
      </c>
      <c r="AE104" s="2" t="str">
        <f t="shared" ca="1" si="55"/>
        <v/>
      </c>
      <c r="AF104" s="2" t="str">
        <f t="shared" ca="1" si="55"/>
        <v/>
      </c>
      <c r="AG104" s="2"/>
      <c r="AH104" s="2" t="str">
        <f t="shared" ca="1" si="55"/>
        <v/>
      </c>
      <c r="AI104" s="2" t="str">
        <f t="shared" ca="1" si="55"/>
        <v/>
      </c>
      <c r="AJ104" s="2" t="str">
        <f t="shared" ca="1" si="55"/>
        <v/>
      </c>
      <c r="AK104" s="2" t="str">
        <f t="shared" ca="1" si="55"/>
        <v/>
      </c>
      <c r="AL104" s="2"/>
      <c r="AM104" s="2" t="str">
        <f>'Client 8'!P$30</f>
        <v/>
      </c>
      <c r="AN104" s="2" t="str">
        <f>'Client 8'!P$31</f>
        <v/>
      </c>
      <c r="AO104" s="2" t="str">
        <f>'Client 8'!P$32</f>
        <v/>
      </c>
      <c r="AP104" s="2" t="str">
        <f>'Client 8'!P$33</f>
        <v/>
      </c>
      <c r="AQ104" s="2"/>
      <c r="AR104" s="2" t="str">
        <f t="shared" ca="1" si="56"/>
        <v/>
      </c>
      <c r="AS104" s="2" t="str">
        <f t="shared" ca="1" si="56"/>
        <v/>
      </c>
      <c r="AT104" s="2" t="str">
        <f t="shared" ca="1" si="56"/>
        <v/>
      </c>
      <c r="AU104" s="2" t="str">
        <f t="shared" ca="1" si="56"/>
        <v/>
      </c>
      <c r="AV104" s="2" t="str">
        <f t="shared" ca="1" si="56"/>
        <v/>
      </c>
      <c r="AW104" s="2" t="str">
        <f t="shared" ca="1" si="56"/>
        <v/>
      </c>
      <c r="AX104" s="2" t="str">
        <f t="shared" ca="1" si="56"/>
        <v/>
      </c>
      <c r="AY104" s="2" t="str">
        <f t="shared" ca="1" si="56"/>
        <v/>
      </c>
      <c r="AZ104" s="2" t="str">
        <f t="shared" ca="1" si="56"/>
        <v/>
      </c>
      <c r="BA104" s="2" t="str">
        <f t="shared" ca="1" si="56"/>
        <v/>
      </c>
      <c r="BB104" s="2" t="str">
        <f t="shared" ca="1" si="56"/>
        <v/>
      </c>
      <c r="BC104" s="2" t="str">
        <f t="shared" ca="1" si="56"/>
        <v/>
      </c>
      <c r="BD104" s="2"/>
      <c r="BE104" s="2" t="str">
        <f t="shared" ca="1" si="56"/>
        <v/>
      </c>
      <c r="BF104" s="2" t="str">
        <f t="shared" ca="1" si="56"/>
        <v/>
      </c>
      <c r="BG104" s="2" t="str">
        <f t="shared" ca="1" si="56"/>
        <v/>
      </c>
      <c r="BH104" s="2" t="str">
        <f t="shared" ca="1" si="57"/>
        <v/>
      </c>
      <c r="BI104" s="2" t="str">
        <f t="shared" ca="1" si="57"/>
        <v/>
      </c>
      <c r="BJ104" s="2" t="str">
        <f t="shared" ca="1" si="57"/>
        <v/>
      </c>
      <c r="BK104" s="2" t="str">
        <f t="shared" ca="1" si="57"/>
        <v/>
      </c>
      <c r="BL104" s="2" t="str">
        <f>'Client 8'!$P$55</f>
        <v/>
      </c>
      <c r="BM104" s="2"/>
      <c r="BN104" s="2" t="str">
        <f t="shared" ca="1" si="57"/>
        <v/>
      </c>
      <c r="BO104" s="2" t="str">
        <f t="shared" ca="1" si="57"/>
        <v/>
      </c>
      <c r="BP104" s="2" t="str">
        <f t="shared" ca="1" si="57"/>
        <v/>
      </c>
      <c r="BQ104" s="2" t="str">
        <f t="shared" ca="1" si="57"/>
        <v/>
      </c>
      <c r="BR104" s="2" t="str">
        <f t="shared" ca="1" si="57"/>
        <v/>
      </c>
      <c r="BS104" s="2" t="str">
        <f>'Client 8'!$P$65</f>
        <v/>
      </c>
      <c r="BT104" s="2"/>
      <c r="BU104" s="2" t="str">
        <f t="shared" ca="1" si="57"/>
        <v/>
      </c>
      <c r="BV104" s="2" t="str">
        <f t="shared" ca="1" si="57"/>
        <v/>
      </c>
      <c r="BW104" s="2" t="str">
        <f t="shared" ca="1" si="57"/>
        <v/>
      </c>
      <c r="BX104" s="2" t="str">
        <f t="shared" ca="1" si="57"/>
        <v/>
      </c>
      <c r="BY104" s="2" t="str">
        <f t="shared" ca="1" si="57"/>
        <v/>
      </c>
      <c r="BZ104" s="2" t="str">
        <f t="shared" ca="1" si="58"/>
        <v/>
      </c>
      <c r="CA104" s="2" t="str">
        <f t="shared" ca="1" si="58"/>
        <v/>
      </c>
      <c r="CB104" s="2" t="str">
        <f>'Client 8'!$P$80</f>
        <v/>
      </c>
      <c r="CC104" s="2" t="str">
        <f>'Client 8'!P$81</f>
        <v/>
      </c>
      <c r="CD104" s="2" t="str">
        <f>'Client 8'!P$82</f>
        <v/>
      </c>
    </row>
    <row r="105" spans="1:82" ht="15" x14ac:dyDescent="0.2">
      <c r="A105" s="68">
        <v>1</v>
      </c>
      <c r="B105" s="349">
        <f>'Client 1'!T22</f>
        <v>0</v>
      </c>
      <c r="C105" s="2">
        <f>'Client 1'!U22</f>
        <v>0</v>
      </c>
      <c r="D105" s="2">
        <f>'Client 1'!V22</f>
        <v>0</v>
      </c>
      <c r="E105" s="2">
        <f>'Client 1'!W22</f>
        <v>0</v>
      </c>
      <c r="F105" s="350">
        <f>'Client 1'!X22</f>
        <v>0</v>
      </c>
      <c r="G105" s="2">
        <f>'Client 1'!Y22</f>
        <v>0</v>
      </c>
      <c r="H105" s="2">
        <f>'Client 1'!Z22</f>
        <v>0</v>
      </c>
      <c r="I105" s="2">
        <f>'Client 1'!AA22</f>
        <v>0</v>
      </c>
      <c r="J105" s="2">
        <f>'Client 1'!AB22</f>
        <v>0</v>
      </c>
      <c r="K105" s="2">
        <f>'Client 1'!AC22</f>
        <v>0</v>
      </c>
      <c r="L105" s="2" cm="1">
        <f t="array" aca="1" ref="L105" ca="1">IF(B105=0,0,INDIRECT("MRN_"&amp;A105))</f>
        <v>0</v>
      </c>
      <c r="M105" s="2">
        <f t="shared" si="51"/>
        <v>0</v>
      </c>
      <c r="N105" s="2" t="str">
        <f t="shared" si="52"/>
        <v>No</v>
      </c>
      <c r="O105" s="2" t="str">
        <f t="shared" si="53"/>
        <v>No</v>
      </c>
      <c r="P105" s="2" t="str" cm="1">
        <f t="array" aca="1" ref="P105" ca="1">IF(OR(INDIRECT("MRN_"&amp;A105)="N/A",B105=0),"No","Yes")</f>
        <v>No</v>
      </c>
      <c r="R105" s="94"/>
      <c r="S105" s="2" t="s">
        <v>23</v>
      </c>
      <c r="T105" s="2" t="str">
        <f>IF(MRN_9="N/A","No","Yes")</f>
        <v>No</v>
      </c>
      <c r="U105" s="2"/>
      <c r="V105" s="2" t="str">
        <f t="shared" ca="1" si="55"/>
        <v/>
      </c>
      <c r="W105" s="2" t="str">
        <f t="shared" ca="1" si="55"/>
        <v/>
      </c>
      <c r="X105" s="2" t="str">
        <f t="shared" ca="1" si="55"/>
        <v/>
      </c>
      <c r="Y105" s="2" t="str">
        <f t="shared" ca="1" si="55"/>
        <v/>
      </c>
      <c r="Z105" s="2" t="str">
        <f t="shared" ca="1" si="55"/>
        <v/>
      </c>
      <c r="AA105" s="2" t="str">
        <f t="shared" ca="1" si="55"/>
        <v/>
      </c>
      <c r="AB105" s="2" t="str">
        <f t="shared" ca="1" si="55"/>
        <v/>
      </c>
      <c r="AC105" s="2" t="str">
        <f t="shared" ca="1" si="55"/>
        <v/>
      </c>
      <c r="AD105" s="2" t="str">
        <f t="shared" ca="1" si="55"/>
        <v/>
      </c>
      <c r="AE105" s="2" t="str">
        <f t="shared" ca="1" si="55"/>
        <v/>
      </c>
      <c r="AF105" s="2" t="str">
        <f t="shared" ca="1" si="55"/>
        <v/>
      </c>
      <c r="AG105" s="2"/>
      <c r="AH105" s="2" t="str">
        <f t="shared" ca="1" si="55"/>
        <v/>
      </c>
      <c r="AI105" s="2" t="str">
        <f t="shared" ca="1" si="55"/>
        <v/>
      </c>
      <c r="AJ105" s="2" t="str">
        <f t="shared" ca="1" si="55"/>
        <v/>
      </c>
      <c r="AK105" s="2" t="str">
        <f t="shared" ca="1" si="55"/>
        <v/>
      </c>
      <c r="AL105" s="2"/>
      <c r="AM105" s="2" t="str">
        <f>'Client 9'!P$30</f>
        <v/>
      </c>
      <c r="AN105" s="2" t="str">
        <f>'Client 9'!P$31</f>
        <v/>
      </c>
      <c r="AO105" s="2" t="str">
        <f>'Client 9'!P$32</f>
        <v/>
      </c>
      <c r="AP105" s="2" t="str">
        <f>'Client 9'!P$33</f>
        <v/>
      </c>
      <c r="AQ105" s="2"/>
      <c r="AR105" s="2" t="str">
        <f t="shared" ca="1" si="56"/>
        <v/>
      </c>
      <c r="AS105" s="2" t="str">
        <f t="shared" ca="1" si="56"/>
        <v/>
      </c>
      <c r="AT105" s="2" t="str">
        <f t="shared" ca="1" si="56"/>
        <v/>
      </c>
      <c r="AU105" s="2" t="str">
        <f t="shared" ca="1" si="56"/>
        <v/>
      </c>
      <c r="AV105" s="2" t="str">
        <f t="shared" ca="1" si="56"/>
        <v/>
      </c>
      <c r="AW105" s="2" t="str">
        <f t="shared" ca="1" si="56"/>
        <v/>
      </c>
      <c r="AX105" s="2" t="str">
        <f t="shared" ca="1" si="56"/>
        <v/>
      </c>
      <c r="AY105" s="2" t="str">
        <f t="shared" ca="1" si="56"/>
        <v/>
      </c>
      <c r="AZ105" s="2" t="str">
        <f t="shared" ca="1" si="56"/>
        <v/>
      </c>
      <c r="BA105" s="2" t="str">
        <f t="shared" ca="1" si="56"/>
        <v/>
      </c>
      <c r="BB105" s="2" t="str">
        <f t="shared" ca="1" si="56"/>
        <v/>
      </c>
      <c r="BC105" s="2" t="str">
        <f t="shared" ca="1" si="56"/>
        <v/>
      </c>
      <c r="BD105" s="2"/>
      <c r="BE105" s="2" t="str">
        <f t="shared" ca="1" si="56"/>
        <v/>
      </c>
      <c r="BF105" s="2" t="str">
        <f t="shared" ca="1" si="56"/>
        <v/>
      </c>
      <c r="BG105" s="2" t="str">
        <f t="shared" ca="1" si="56"/>
        <v/>
      </c>
      <c r="BH105" s="2" t="str">
        <f t="shared" ca="1" si="57"/>
        <v/>
      </c>
      <c r="BI105" s="2" t="str">
        <f t="shared" ca="1" si="57"/>
        <v/>
      </c>
      <c r="BJ105" s="2" t="str">
        <f t="shared" ca="1" si="57"/>
        <v/>
      </c>
      <c r="BK105" s="2" t="str">
        <f t="shared" ca="1" si="57"/>
        <v/>
      </c>
      <c r="BL105" s="2" t="str">
        <f>'Client 9'!$P$55</f>
        <v/>
      </c>
      <c r="BM105" s="2"/>
      <c r="BN105" s="2" t="str">
        <f t="shared" ca="1" si="57"/>
        <v/>
      </c>
      <c r="BO105" s="2" t="str">
        <f t="shared" ca="1" si="57"/>
        <v/>
      </c>
      <c r="BP105" s="2" t="str">
        <f t="shared" ca="1" si="57"/>
        <v/>
      </c>
      <c r="BQ105" s="2" t="str">
        <f t="shared" ca="1" si="57"/>
        <v/>
      </c>
      <c r="BR105" s="2" t="str">
        <f t="shared" ca="1" si="57"/>
        <v/>
      </c>
      <c r="BS105" s="2" t="str">
        <f>'Client 9'!$P$65</f>
        <v/>
      </c>
      <c r="BT105" s="2"/>
      <c r="BU105" s="2" t="str">
        <f t="shared" ca="1" si="57"/>
        <v/>
      </c>
      <c r="BV105" s="2" t="str">
        <f t="shared" ca="1" si="57"/>
        <v/>
      </c>
      <c r="BW105" s="2" t="str">
        <f t="shared" ca="1" si="57"/>
        <v/>
      </c>
      <c r="BX105" s="2" t="str">
        <f t="shared" ca="1" si="57"/>
        <v/>
      </c>
      <c r="BY105" s="2" t="str">
        <f t="shared" ca="1" si="57"/>
        <v/>
      </c>
      <c r="BZ105" s="2" t="str">
        <f t="shared" ca="1" si="58"/>
        <v/>
      </c>
      <c r="CA105" s="2" t="str">
        <f t="shared" ca="1" si="58"/>
        <v/>
      </c>
      <c r="CB105" s="2" t="str">
        <f>'Client 9'!$P$80</f>
        <v/>
      </c>
      <c r="CC105" s="2" t="str">
        <f>'Client 9'!P$81</f>
        <v/>
      </c>
      <c r="CD105" s="2" t="str">
        <f>'Client 9'!P$82</f>
        <v/>
      </c>
    </row>
    <row r="106" spans="1:82" x14ac:dyDescent="0.2">
      <c r="A106" s="68">
        <v>1</v>
      </c>
      <c r="B106" s="349">
        <f>'Client 1'!T23</f>
        <v>0</v>
      </c>
      <c r="C106" s="2">
        <f>'Client 1'!U23</f>
        <v>0</v>
      </c>
      <c r="D106" s="2">
        <f>'Client 1'!V23</f>
        <v>0</v>
      </c>
      <c r="E106" s="2">
        <f>'Client 1'!W23</f>
        <v>0</v>
      </c>
      <c r="F106" s="350">
        <f>'Client 1'!X23</f>
        <v>0</v>
      </c>
      <c r="G106" s="2">
        <f>'Client 1'!Y23</f>
        <v>0</v>
      </c>
      <c r="H106" s="2">
        <f>'Client 1'!Z23</f>
        <v>0</v>
      </c>
      <c r="I106" s="2">
        <f>'Client 1'!AA23</f>
        <v>0</v>
      </c>
      <c r="J106" s="2">
        <f>'Client 1'!AB23</f>
        <v>0</v>
      </c>
      <c r="K106" s="2">
        <f>'Client 1'!AC23</f>
        <v>0</v>
      </c>
      <c r="L106" s="2" cm="1">
        <f t="array" aca="1" ref="L106" ca="1">IF(B106=0,0,INDIRECT("MRN_"&amp;A106))</f>
        <v>0</v>
      </c>
      <c r="M106" s="2">
        <f t="shared" si="51"/>
        <v>0</v>
      </c>
      <c r="N106" s="2" t="str">
        <f t="shared" si="52"/>
        <v>No</v>
      </c>
      <c r="O106" s="2" t="str">
        <f t="shared" si="53"/>
        <v>No</v>
      </c>
      <c r="P106" s="2" t="str" cm="1">
        <f t="array" aca="1" ref="P106" ca="1">IF(OR(INDIRECT("MRN_"&amp;A106)="N/A",B106=0),"No","Yes")</f>
        <v>No</v>
      </c>
      <c r="S106" s="2" t="s">
        <v>24</v>
      </c>
      <c r="T106" s="2" t="str">
        <f>IF(MRN_10="N/A","No","Yes")</f>
        <v>No</v>
      </c>
      <c r="U106" s="2"/>
      <c r="V106" s="2" t="str">
        <f t="shared" ca="1" si="55"/>
        <v/>
      </c>
      <c r="W106" s="2" t="str">
        <f t="shared" ca="1" si="55"/>
        <v/>
      </c>
      <c r="X106" s="2" t="str">
        <f t="shared" ca="1" si="55"/>
        <v/>
      </c>
      <c r="Y106" s="2" t="str">
        <f t="shared" ca="1" si="55"/>
        <v/>
      </c>
      <c r="Z106" s="2" t="str">
        <f t="shared" ca="1" si="55"/>
        <v/>
      </c>
      <c r="AA106" s="2" t="str">
        <f t="shared" ca="1" si="55"/>
        <v/>
      </c>
      <c r="AB106" s="2" t="str">
        <f t="shared" ca="1" si="55"/>
        <v/>
      </c>
      <c r="AC106" s="2" t="str">
        <f t="shared" ca="1" si="55"/>
        <v/>
      </c>
      <c r="AD106" s="2" t="str">
        <f t="shared" ca="1" si="55"/>
        <v/>
      </c>
      <c r="AE106" s="2" t="str">
        <f t="shared" ca="1" si="55"/>
        <v/>
      </c>
      <c r="AF106" s="2" t="str">
        <f t="shared" ca="1" si="55"/>
        <v/>
      </c>
      <c r="AG106" s="2"/>
      <c r="AH106" s="2" t="str">
        <f t="shared" ca="1" si="55"/>
        <v/>
      </c>
      <c r="AI106" s="2" t="str">
        <f t="shared" ca="1" si="55"/>
        <v/>
      </c>
      <c r="AJ106" s="2" t="str">
        <f t="shared" ca="1" si="55"/>
        <v/>
      </c>
      <c r="AK106" s="2" t="str">
        <f t="shared" ca="1" si="55"/>
        <v/>
      </c>
      <c r="AL106" s="2"/>
      <c r="AM106" s="2" t="str">
        <f>'Client 10'!P$30</f>
        <v/>
      </c>
      <c r="AN106" s="2" t="str">
        <f>'Client 10'!P$31</f>
        <v/>
      </c>
      <c r="AO106" s="2" t="str">
        <f>'Client 10'!P$32</f>
        <v/>
      </c>
      <c r="AP106" s="2" t="str">
        <f>'Client 10'!P$33</f>
        <v/>
      </c>
      <c r="AQ106" s="2"/>
      <c r="AR106" s="2" t="str">
        <f t="shared" ca="1" si="56"/>
        <v/>
      </c>
      <c r="AS106" s="2" t="str">
        <f t="shared" ca="1" si="56"/>
        <v/>
      </c>
      <c r="AT106" s="2" t="str">
        <f t="shared" ca="1" si="56"/>
        <v/>
      </c>
      <c r="AU106" s="2" t="str">
        <f t="shared" ca="1" si="56"/>
        <v/>
      </c>
      <c r="AV106" s="2" t="str">
        <f t="shared" ca="1" si="56"/>
        <v/>
      </c>
      <c r="AW106" s="2" t="str">
        <f t="shared" ca="1" si="56"/>
        <v/>
      </c>
      <c r="AX106" s="2" t="str">
        <f t="shared" ca="1" si="56"/>
        <v/>
      </c>
      <c r="AY106" s="2" t="str">
        <f t="shared" ca="1" si="56"/>
        <v/>
      </c>
      <c r="AZ106" s="2" t="str">
        <f t="shared" ca="1" si="56"/>
        <v/>
      </c>
      <c r="BA106" s="2" t="str">
        <f t="shared" ca="1" si="56"/>
        <v/>
      </c>
      <c r="BB106" s="2" t="str">
        <f t="shared" ca="1" si="56"/>
        <v/>
      </c>
      <c r="BC106" s="2" t="str">
        <f t="shared" ca="1" si="56"/>
        <v/>
      </c>
      <c r="BD106" s="2"/>
      <c r="BE106" s="2" t="str">
        <f t="shared" ca="1" si="56"/>
        <v/>
      </c>
      <c r="BF106" s="2" t="str">
        <f t="shared" ca="1" si="56"/>
        <v/>
      </c>
      <c r="BG106" s="2" t="str">
        <f t="shared" ca="1" si="56"/>
        <v/>
      </c>
      <c r="BH106" s="2" t="str">
        <f t="shared" ca="1" si="57"/>
        <v/>
      </c>
      <c r="BI106" s="2" t="str">
        <f t="shared" ca="1" si="57"/>
        <v/>
      </c>
      <c r="BJ106" s="2" t="str">
        <f t="shared" ca="1" si="57"/>
        <v/>
      </c>
      <c r="BK106" s="2" t="str">
        <f t="shared" ca="1" si="57"/>
        <v/>
      </c>
      <c r="BL106" s="2" t="str">
        <f>'Client 10'!$P$55</f>
        <v/>
      </c>
      <c r="BM106" s="2"/>
      <c r="BN106" s="2" t="str">
        <f t="shared" ca="1" si="57"/>
        <v/>
      </c>
      <c r="BO106" s="2" t="str">
        <f t="shared" ca="1" si="57"/>
        <v/>
      </c>
      <c r="BP106" s="2" t="str">
        <f t="shared" ca="1" si="57"/>
        <v/>
      </c>
      <c r="BQ106" s="2" t="str">
        <f t="shared" ca="1" si="57"/>
        <v/>
      </c>
      <c r="BR106" s="2" t="str">
        <f t="shared" ca="1" si="57"/>
        <v/>
      </c>
      <c r="BS106" s="2" t="str">
        <f>'Client 10'!$P$65</f>
        <v/>
      </c>
      <c r="BT106" s="2"/>
      <c r="BU106" s="2" t="str">
        <f t="shared" ca="1" si="57"/>
        <v/>
      </c>
      <c r="BV106" s="2" t="str">
        <f t="shared" ca="1" si="57"/>
        <v/>
      </c>
      <c r="BW106" s="2" t="str">
        <f t="shared" ca="1" si="57"/>
        <v/>
      </c>
      <c r="BX106" s="2" t="str">
        <f t="shared" ca="1" si="57"/>
        <v/>
      </c>
      <c r="BY106" s="2" t="str">
        <f t="shared" ca="1" si="57"/>
        <v/>
      </c>
      <c r="BZ106" s="2" t="str">
        <f t="shared" ca="1" si="58"/>
        <v/>
      </c>
      <c r="CA106" s="2" t="str">
        <f t="shared" ca="1" si="58"/>
        <v/>
      </c>
      <c r="CB106" s="2" t="str">
        <f>'Client 10'!$P$80</f>
        <v/>
      </c>
      <c r="CC106" s="2" t="str">
        <f>'Client 10'!P$81</f>
        <v/>
      </c>
      <c r="CD106" s="2" t="str">
        <f>'Client 10'!P$82</f>
        <v/>
      </c>
    </row>
    <row r="107" spans="1:82" x14ac:dyDescent="0.2">
      <c r="A107" s="68">
        <v>1</v>
      </c>
      <c r="B107" s="349">
        <f>'Client 1'!T24</f>
        <v>0</v>
      </c>
      <c r="C107" s="2">
        <f>'Client 1'!U24</f>
        <v>0</v>
      </c>
      <c r="D107" s="2">
        <f>'Client 1'!V24</f>
        <v>0</v>
      </c>
      <c r="E107" s="2">
        <f>'Client 1'!W24</f>
        <v>0</v>
      </c>
      <c r="F107" s="350">
        <f>'Client 1'!X24</f>
        <v>0</v>
      </c>
      <c r="G107" s="2">
        <f>'Client 1'!Y24</f>
        <v>0</v>
      </c>
      <c r="H107" s="2">
        <f>'Client 1'!Z24</f>
        <v>0</v>
      </c>
      <c r="I107" s="2">
        <f>'Client 1'!AA24</f>
        <v>0</v>
      </c>
      <c r="J107" s="2">
        <f>'Client 1'!AB24</f>
        <v>0</v>
      </c>
      <c r="K107" s="2">
        <f>'Client 1'!AC24</f>
        <v>0</v>
      </c>
      <c r="L107" s="2" cm="1">
        <f t="array" aca="1" ref="L107" ca="1">IF(B107=0,0,INDIRECT("MRN_"&amp;A107))</f>
        <v>0</v>
      </c>
      <c r="M107" s="2">
        <f t="shared" si="51"/>
        <v>0</v>
      </c>
      <c r="N107" s="2" t="str">
        <f t="shared" si="52"/>
        <v>No</v>
      </c>
      <c r="O107" s="2" t="str">
        <f t="shared" si="53"/>
        <v>No</v>
      </c>
      <c r="P107" s="2" t="str" cm="1">
        <f t="array" aca="1" ref="P107" ca="1">IF(OR(INDIRECT("MRN_"&amp;A107)="N/A",B107=0),"No","Yes")</f>
        <v>No</v>
      </c>
      <c r="S107" s="2" t="s">
        <v>25</v>
      </c>
      <c r="T107" s="2" t="str">
        <f>IF(MRN_11="N/A","No","Yes")</f>
        <v>No</v>
      </c>
      <c r="U107" s="2"/>
      <c r="V107" s="2" t="str">
        <f t="shared" ca="1" si="55"/>
        <v/>
      </c>
      <c r="W107" s="2" t="str">
        <f t="shared" ca="1" si="55"/>
        <v/>
      </c>
      <c r="X107" s="2" t="str">
        <f t="shared" ca="1" si="55"/>
        <v/>
      </c>
      <c r="Y107" s="2" t="str">
        <f t="shared" ca="1" si="55"/>
        <v/>
      </c>
      <c r="Z107" s="2" t="str">
        <f t="shared" ca="1" si="55"/>
        <v/>
      </c>
      <c r="AA107" s="2" t="str">
        <f t="shared" ca="1" si="55"/>
        <v/>
      </c>
      <c r="AB107" s="2" t="str">
        <f t="shared" ca="1" si="55"/>
        <v/>
      </c>
      <c r="AC107" s="2" t="str">
        <f t="shared" ca="1" si="55"/>
        <v/>
      </c>
      <c r="AD107" s="2" t="str">
        <f t="shared" ca="1" si="55"/>
        <v/>
      </c>
      <c r="AE107" s="2" t="str">
        <f t="shared" ca="1" si="55"/>
        <v/>
      </c>
      <c r="AF107" s="2" t="str">
        <f t="shared" ca="1" si="55"/>
        <v/>
      </c>
      <c r="AG107" s="2"/>
      <c r="AH107" s="2" t="str">
        <f t="shared" ca="1" si="55"/>
        <v/>
      </c>
      <c r="AI107" s="2" t="str">
        <f t="shared" ca="1" si="55"/>
        <v/>
      </c>
      <c r="AJ107" s="2" t="str">
        <f t="shared" ca="1" si="55"/>
        <v/>
      </c>
      <c r="AK107" s="2" t="str">
        <f t="shared" ca="1" si="55"/>
        <v/>
      </c>
      <c r="AL107" s="2"/>
      <c r="AM107" s="2" t="str">
        <f>'Client 11'!P$30</f>
        <v/>
      </c>
      <c r="AN107" s="2" t="str">
        <f>'Client 11'!P$31</f>
        <v/>
      </c>
      <c r="AO107" s="2" t="str">
        <f>'Client 11'!P$32</f>
        <v/>
      </c>
      <c r="AP107" s="2" t="str">
        <f>'Client 11'!P$33</f>
        <v/>
      </c>
      <c r="AQ107" s="2"/>
      <c r="AR107" s="2" t="str">
        <f t="shared" ca="1" si="56"/>
        <v/>
      </c>
      <c r="AS107" s="2" t="str">
        <f t="shared" ca="1" si="56"/>
        <v/>
      </c>
      <c r="AT107" s="2" t="str">
        <f t="shared" ca="1" si="56"/>
        <v/>
      </c>
      <c r="AU107" s="2" t="str">
        <f t="shared" ca="1" si="56"/>
        <v/>
      </c>
      <c r="AV107" s="2" t="str">
        <f t="shared" ca="1" si="56"/>
        <v/>
      </c>
      <c r="AW107" s="2" t="str">
        <f t="shared" ca="1" si="56"/>
        <v/>
      </c>
      <c r="AX107" s="2" t="str">
        <f t="shared" ca="1" si="56"/>
        <v/>
      </c>
      <c r="AY107" s="2" t="str">
        <f t="shared" ca="1" si="56"/>
        <v/>
      </c>
      <c r="AZ107" s="2" t="str">
        <f t="shared" ca="1" si="56"/>
        <v/>
      </c>
      <c r="BA107" s="2" t="str">
        <f t="shared" ca="1" si="56"/>
        <v/>
      </c>
      <c r="BB107" s="2" t="str">
        <f t="shared" ca="1" si="56"/>
        <v/>
      </c>
      <c r="BC107" s="2" t="str">
        <f t="shared" ca="1" si="56"/>
        <v/>
      </c>
      <c r="BD107" s="2"/>
      <c r="BE107" s="2" t="str">
        <f t="shared" ca="1" si="56"/>
        <v/>
      </c>
      <c r="BF107" s="2" t="str">
        <f t="shared" ca="1" si="56"/>
        <v/>
      </c>
      <c r="BG107" s="2" t="str">
        <f t="shared" ca="1" si="56"/>
        <v/>
      </c>
      <c r="BH107" s="2" t="str">
        <f t="shared" ca="1" si="57"/>
        <v/>
      </c>
      <c r="BI107" s="2" t="str">
        <f t="shared" ca="1" si="57"/>
        <v/>
      </c>
      <c r="BJ107" s="2" t="str">
        <f t="shared" ca="1" si="57"/>
        <v/>
      </c>
      <c r="BK107" s="2" t="str">
        <f t="shared" ca="1" si="57"/>
        <v/>
      </c>
      <c r="BL107" s="2" t="str">
        <f>'Client 11'!$P$55</f>
        <v/>
      </c>
      <c r="BM107" s="2"/>
      <c r="BN107" s="2" t="str">
        <f t="shared" ca="1" si="57"/>
        <v/>
      </c>
      <c r="BO107" s="2" t="str">
        <f t="shared" ca="1" si="57"/>
        <v/>
      </c>
      <c r="BP107" s="2" t="str">
        <f t="shared" ca="1" si="57"/>
        <v/>
      </c>
      <c r="BQ107" s="2" t="str">
        <f t="shared" ca="1" si="57"/>
        <v/>
      </c>
      <c r="BR107" s="2" t="str">
        <f t="shared" ca="1" si="57"/>
        <v/>
      </c>
      <c r="BS107" s="2" t="str">
        <f>'Client 11'!$P$65</f>
        <v/>
      </c>
      <c r="BT107" s="2"/>
      <c r="BU107" s="2" t="str">
        <f t="shared" ca="1" si="57"/>
        <v/>
      </c>
      <c r="BV107" s="2" t="str">
        <f t="shared" ca="1" si="57"/>
        <v/>
      </c>
      <c r="BW107" s="2" t="str">
        <f t="shared" ca="1" si="57"/>
        <v/>
      </c>
      <c r="BX107" s="2" t="str">
        <f t="shared" ca="1" si="57"/>
        <v/>
      </c>
      <c r="BY107" s="2" t="str">
        <f t="shared" ca="1" si="57"/>
        <v/>
      </c>
      <c r="BZ107" s="2" t="str">
        <f t="shared" ca="1" si="58"/>
        <v/>
      </c>
      <c r="CA107" s="2" t="str">
        <f t="shared" ca="1" si="58"/>
        <v/>
      </c>
      <c r="CB107" s="2" t="str">
        <f>'Client 11'!$P$80</f>
        <v/>
      </c>
      <c r="CC107" s="2" t="str">
        <f>'Client 11'!P$81</f>
        <v/>
      </c>
      <c r="CD107" s="2" t="str">
        <f>'Client 11'!P$82</f>
        <v/>
      </c>
    </row>
    <row r="108" spans="1:82" x14ac:dyDescent="0.2">
      <c r="A108" s="68">
        <v>1</v>
      </c>
      <c r="B108" s="349">
        <f>'Client 1'!T25</f>
        <v>0</v>
      </c>
      <c r="C108" s="2">
        <f>'Client 1'!U25</f>
        <v>0</v>
      </c>
      <c r="D108" s="2">
        <f>'Client 1'!V25</f>
        <v>0</v>
      </c>
      <c r="E108" s="2">
        <f>'Client 1'!W25</f>
        <v>0</v>
      </c>
      <c r="F108" s="350">
        <f>'Client 1'!X25</f>
        <v>0</v>
      </c>
      <c r="G108" s="2">
        <f>'Client 1'!Y25</f>
        <v>0</v>
      </c>
      <c r="H108" s="2">
        <f>'Client 1'!Z25</f>
        <v>0</v>
      </c>
      <c r="I108" s="2">
        <f>'Client 1'!AA25</f>
        <v>0</v>
      </c>
      <c r="J108" s="2">
        <f>'Client 1'!AB25</f>
        <v>0</v>
      </c>
      <c r="K108" s="2">
        <f>'Client 1'!AC25</f>
        <v>0</v>
      </c>
      <c r="L108" s="2" cm="1">
        <f t="array" aca="1" ref="L108" ca="1">IF(B108=0,0,INDIRECT("MRN_"&amp;A108))</f>
        <v>0</v>
      </c>
      <c r="M108" s="2">
        <f t="shared" si="51"/>
        <v>0</v>
      </c>
      <c r="N108" s="2" t="str">
        <f t="shared" si="52"/>
        <v>No</v>
      </c>
      <c r="O108" s="2" t="str">
        <f t="shared" si="53"/>
        <v>No</v>
      </c>
      <c r="P108" s="2" t="str" cm="1">
        <f t="array" aca="1" ref="P108" ca="1">IF(OR(INDIRECT("MRN_"&amp;A108)="N/A",B108=0),"No","Yes")</f>
        <v>No</v>
      </c>
      <c r="S108" s="2" t="s">
        <v>26</v>
      </c>
      <c r="T108" s="2" t="str">
        <f>IF(MRN_12="N/A","No","Yes")</f>
        <v>No</v>
      </c>
      <c r="U108" s="2"/>
      <c r="V108" s="2" t="str">
        <f t="shared" ca="1" si="55"/>
        <v/>
      </c>
      <c r="W108" s="2" t="str">
        <f t="shared" ca="1" si="55"/>
        <v/>
      </c>
      <c r="X108" s="2" t="str">
        <f t="shared" ca="1" si="55"/>
        <v/>
      </c>
      <c r="Y108" s="2" t="str">
        <f t="shared" ca="1" si="55"/>
        <v/>
      </c>
      <c r="Z108" s="2" t="str">
        <f t="shared" ca="1" si="55"/>
        <v/>
      </c>
      <c r="AA108" s="2" t="str">
        <f t="shared" ca="1" si="55"/>
        <v/>
      </c>
      <c r="AB108" s="2" t="str">
        <f t="shared" ca="1" si="55"/>
        <v/>
      </c>
      <c r="AC108" s="2" t="str">
        <f t="shared" ca="1" si="55"/>
        <v/>
      </c>
      <c r="AD108" s="2" t="str">
        <f t="shared" ca="1" si="55"/>
        <v/>
      </c>
      <c r="AE108" s="2" t="str">
        <f t="shared" ca="1" si="55"/>
        <v/>
      </c>
      <c r="AF108" s="2" t="str">
        <f t="shared" ca="1" si="55"/>
        <v/>
      </c>
      <c r="AG108" s="2"/>
      <c r="AH108" s="2" t="str">
        <f t="shared" ca="1" si="55"/>
        <v/>
      </c>
      <c r="AI108" s="2" t="str">
        <f t="shared" ca="1" si="55"/>
        <v/>
      </c>
      <c r="AJ108" s="2" t="str">
        <f t="shared" ca="1" si="55"/>
        <v/>
      </c>
      <c r="AK108" s="2" t="str">
        <f t="shared" ca="1" si="55"/>
        <v/>
      </c>
      <c r="AL108" s="2"/>
      <c r="AM108" s="2" t="str">
        <f>'Client 12'!P$30</f>
        <v/>
      </c>
      <c r="AN108" s="2" t="str">
        <f>'Client 12'!P$31</f>
        <v/>
      </c>
      <c r="AO108" s="2" t="str">
        <f>'Client 12'!P$32</f>
        <v/>
      </c>
      <c r="AP108" s="2" t="str">
        <f>'Client 12'!P$33</f>
        <v/>
      </c>
      <c r="AQ108" s="2"/>
      <c r="AR108" s="2" t="str">
        <f t="shared" ca="1" si="56"/>
        <v/>
      </c>
      <c r="AS108" s="2" t="str">
        <f t="shared" ca="1" si="56"/>
        <v/>
      </c>
      <c r="AT108" s="2" t="str">
        <f t="shared" ca="1" si="56"/>
        <v/>
      </c>
      <c r="AU108" s="2" t="str">
        <f t="shared" ca="1" si="56"/>
        <v/>
      </c>
      <c r="AV108" s="2" t="str">
        <f t="shared" ca="1" si="56"/>
        <v/>
      </c>
      <c r="AW108" s="2" t="str">
        <f t="shared" ca="1" si="56"/>
        <v/>
      </c>
      <c r="AX108" s="2" t="str">
        <f t="shared" ca="1" si="56"/>
        <v/>
      </c>
      <c r="AY108" s="2" t="str">
        <f t="shared" ca="1" si="56"/>
        <v/>
      </c>
      <c r="AZ108" s="2" t="str">
        <f t="shared" ca="1" si="56"/>
        <v/>
      </c>
      <c r="BA108" s="2" t="str">
        <f t="shared" ca="1" si="56"/>
        <v/>
      </c>
      <c r="BB108" s="2" t="str">
        <f t="shared" ca="1" si="56"/>
        <v/>
      </c>
      <c r="BC108" s="2" t="str">
        <f t="shared" ca="1" si="56"/>
        <v/>
      </c>
      <c r="BD108" s="2"/>
      <c r="BE108" s="2" t="str">
        <f t="shared" ca="1" si="56"/>
        <v/>
      </c>
      <c r="BF108" s="2" t="str">
        <f t="shared" ca="1" si="56"/>
        <v/>
      </c>
      <c r="BG108" s="2" t="str">
        <f t="shared" ca="1" si="56"/>
        <v/>
      </c>
      <c r="BH108" s="2" t="str">
        <f t="shared" ca="1" si="57"/>
        <v/>
      </c>
      <c r="BI108" s="2" t="str">
        <f t="shared" ca="1" si="57"/>
        <v/>
      </c>
      <c r="BJ108" s="2" t="str">
        <f t="shared" ca="1" si="57"/>
        <v/>
      </c>
      <c r="BK108" s="2" t="str">
        <f t="shared" ca="1" si="57"/>
        <v/>
      </c>
      <c r="BL108" s="2" t="str">
        <f>'Client 12'!$P$55</f>
        <v/>
      </c>
      <c r="BM108" s="2"/>
      <c r="BN108" s="2" t="str">
        <f t="shared" ca="1" si="57"/>
        <v/>
      </c>
      <c r="BO108" s="2" t="str">
        <f t="shared" ca="1" si="57"/>
        <v/>
      </c>
      <c r="BP108" s="2" t="str">
        <f t="shared" ca="1" si="57"/>
        <v/>
      </c>
      <c r="BQ108" s="2" t="str">
        <f t="shared" ca="1" si="57"/>
        <v/>
      </c>
      <c r="BR108" s="2" t="str">
        <f t="shared" ca="1" si="57"/>
        <v/>
      </c>
      <c r="BS108" s="2" t="str">
        <f>'Client 12'!$P$65</f>
        <v/>
      </c>
      <c r="BT108" s="2"/>
      <c r="BU108" s="2" t="str">
        <f t="shared" ca="1" si="57"/>
        <v/>
      </c>
      <c r="BV108" s="2" t="str">
        <f t="shared" ca="1" si="57"/>
        <v/>
      </c>
      <c r="BW108" s="2" t="str">
        <f t="shared" ca="1" si="57"/>
        <v/>
      </c>
      <c r="BX108" s="2" t="str">
        <f t="shared" ca="1" si="57"/>
        <v/>
      </c>
      <c r="BY108" s="2" t="str">
        <f t="shared" ca="1" si="57"/>
        <v/>
      </c>
      <c r="BZ108" s="2" t="str">
        <f t="shared" ca="1" si="58"/>
        <v/>
      </c>
      <c r="CA108" s="2" t="str">
        <f t="shared" ca="1" si="58"/>
        <v/>
      </c>
      <c r="CB108" s="2" t="str">
        <f>'Client 12'!$P$80</f>
        <v/>
      </c>
      <c r="CC108" s="2" t="str">
        <f>'Client 12'!P$81</f>
        <v/>
      </c>
      <c r="CD108" s="2" t="str">
        <f>'Client 12'!P$82</f>
        <v/>
      </c>
    </row>
    <row r="109" spans="1:82" x14ac:dyDescent="0.2">
      <c r="A109" s="68">
        <v>1</v>
      </c>
      <c r="B109" s="349">
        <f>'Client 1'!T26</f>
        <v>0</v>
      </c>
      <c r="C109" s="2">
        <f>'Client 1'!U26</f>
        <v>0</v>
      </c>
      <c r="D109" s="2">
        <f>'Client 1'!V26</f>
        <v>0</v>
      </c>
      <c r="E109" s="2">
        <f>'Client 1'!W26</f>
        <v>0</v>
      </c>
      <c r="F109" s="350">
        <f>'Client 1'!X26</f>
        <v>0</v>
      </c>
      <c r="G109" s="2">
        <f>'Client 1'!Y26</f>
        <v>0</v>
      </c>
      <c r="H109" s="2">
        <f>'Client 1'!Z26</f>
        <v>0</v>
      </c>
      <c r="I109" s="2">
        <f>'Client 1'!AA26</f>
        <v>0</v>
      </c>
      <c r="J109" s="2">
        <f>'Client 1'!AB26</f>
        <v>0</v>
      </c>
      <c r="K109" s="2">
        <f>'Client 1'!AC26</f>
        <v>0</v>
      </c>
      <c r="L109" s="2" cm="1">
        <f t="array" aca="1" ref="L109" ca="1">IF(B109=0,0,INDIRECT("MRN_"&amp;A109))</f>
        <v>0</v>
      </c>
      <c r="M109" s="2">
        <f t="shared" si="51"/>
        <v>0</v>
      </c>
      <c r="N109" s="2" t="str">
        <f t="shared" si="52"/>
        <v>No</v>
      </c>
      <c r="O109" s="2" t="str">
        <f t="shared" si="53"/>
        <v>No</v>
      </c>
      <c r="P109" s="2" t="str" cm="1">
        <f t="array" aca="1" ref="P109" ca="1">IF(OR(INDIRECT("MRN_"&amp;A109)="N/A",B109=0),"No","Yes")</f>
        <v>No</v>
      </c>
      <c r="S109" s="2" t="s">
        <v>27</v>
      </c>
      <c r="T109" s="2" t="str">
        <f>IF(MRN_13="N/A","No","Yes")</f>
        <v>No</v>
      </c>
      <c r="U109" s="2"/>
      <c r="V109" s="2" t="str">
        <f t="shared" ca="1" si="55"/>
        <v/>
      </c>
      <c r="W109" s="2" t="str">
        <f t="shared" ca="1" si="55"/>
        <v/>
      </c>
      <c r="X109" s="2" t="str">
        <f t="shared" ca="1" si="55"/>
        <v/>
      </c>
      <c r="Y109" s="2" t="str">
        <f t="shared" ca="1" si="55"/>
        <v/>
      </c>
      <c r="Z109" s="2" t="str">
        <f t="shared" ca="1" si="55"/>
        <v/>
      </c>
      <c r="AA109" s="2" t="str">
        <f t="shared" ca="1" si="55"/>
        <v/>
      </c>
      <c r="AB109" s="2" t="str">
        <f t="shared" ca="1" si="55"/>
        <v/>
      </c>
      <c r="AC109" s="2" t="str">
        <f t="shared" ca="1" si="55"/>
        <v/>
      </c>
      <c r="AD109" s="2" t="str">
        <f t="shared" ca="1" si="55"/>
        <v/>
      </c>
      <c r="AE109" s="2" t="str">
        <f t="shared" ca="1" si="55"/>
        <v/>
      </c>
      <c r="AF109" s="2" t="str">
        <f t="shared" ca="1" si="55"/>
        <v/>
      </c>
      <c r="AG109" s="2"/>
      <c r="AH109" s="2" t="str">
        <f t="shared" ca="1" si="55"/>
        <v/>
      </c>
      <c r="AI109" s="2" t="str">
        <f t="shared" ca="1" si="55"/>
        <v/>
      </c>
      <c r="AJ109" s="2" t="str">
        <f t="shared" ca="1" si="55"/>
        <v/>
      </c>
      <c r="AK109" s="2" t="str">
        <f t="shared" ca="1" si="55"/>
        <v/>
      </c>
      <c r="AL109" s="2"/>
      <c r="AM109" s="2" t="str">
        <f>'Client 13'!P$30</f>
        <v/>
      </c>
      <c r="AN109" s="2" t="str">
        <f>'Client 13'!P$31</f>
        <v/>
      </c>
      <c r="AO109" s="2" t="str">
        <f>'Client 13'!P$32</f>
        <v/>
      </c>
      <c r="AP109" s="2" t="str">
        <f>'Client 13'!P$33</f>
        <v/>
      </c>
      <c r="AQ109" s="2"/>
      <c r="AR109" s="2" t="str">
        <f t="shared" ca="1" si="56"/>
        <v/>
      </c>
      <c r="AS109" s="2" t="str">
        <f t="shared" ca="1" si="56"/>
        <v/>
      </c>
      <c r="AT109" s="2" t="str">
        <f t="shared" ca="1" si="56"/>
        <v/>
      </c>
      <c r="AU109" s="2" t="str">
        <f t="shared" ca="1" si="56"/>
        <v/>
      </c>
      <c r="AV109" s="2" t="str">
        <f t="shared" ca="1" si="56"/>
        <v/>
      </c>
      <c r="AW109" s="2" t="str">
        <f t="shared" ca="1" si="56"/>
        <v/>
      </c>
      <c r="AX109" s="2" t="str">
        <f t="shared" ca="1" si="56"/>
        <v/>
      </c>
      <c r="AY109" s="2" t="str">
        <f t="shared" ca="1" si="56"/>
        <v/>
      </c>
      <c r="AZ109" s="2" t="str">
        <f t="shared" ca="1" si="56"/>
        <v/>
      </c>
      <c r="BA109" s="2" t="str">
        <f t="shared" ca="1" si="56"/>
        <v/>
      </c>
      <c r="BB109" s="2" t="str">
        <f t="shared" ca="1" si="56"/>
        <v/>
      </c>
      <c r="BC109" s="2" t="str">
        <f t="shared" ca="1" si="56"/>
        <v/>
      </c>
      <c r="BD109" s="2"/>
      <c r="BE109" s="2" t="str">
        <f t="shared" ca="1" si="56"/>
        <v/>
      </c>
      <c r="BF109" s="2" t="str">
        <f t="shared" ca="1" si="56"/>
        <v/>
      </c>
      <c r="BG109" s="2" t="str">
        <f t="shared" ca="1" si="56"/>
        <v/>
      </c>
      <c r="BH109" s="2" t="str">
        <f t="shared" ca="1" si="57"/>
        <v/>
      </c>
      <c r="BI109" s="2" t="str">
        <f t="shared" ca="1" si="57"/>
        <v/>
      </c>
      <c r="BJ109" s="2" t="str">
        <f t="shared" ca="1" si="57"/>
        <v/>
      </c>
      <c r="BK109" s="2" t="str">
        <f t="shared" ca="1" si="57"/>
        <v/>
      </c>
      <c r="BL109" s="2" t="str">
        <f>'Client 13'!$P$55</f>
        <v/>
      </c>
      <c r="BM109" s="2"/>
      <c r="BN109" s="2" t="str">
        <f t="shared" ca="1" si="57"/>
        <v/>
      </c>
      <c r="BO109" s="2" t="str">
        <f t="shared" ca="1" si="57"/>
        <v/>
      </c>
      <c r="BP109" s="2" t="str">
        <f t="shared" ca="1" si="57"/>
        <v/>
      </c>
      <c r="BQ109" s="2" t="str">
        <f t="shared" ca="1" si="57"/>
        <v/>
      </c>
      <c r="BR109" s="2" t="str">
        <f t="shared" ca="1" si="57"/>
        <v/>
      </c>
      <c r="BS109" s="2" t="str">
        <f>'Client 13'!$P$65</f>
        <v/>
      </c>
      <c r="BT109" s="2"/>
      <c r="BU109" s="2" t="str">
        <f t="shared" ca="1" si="57"/>
        <v/>
      </c>
      <c r="BV109" s="2" t="str">
        <f t="shared" ca="1" si="57"/>
        <v/>
      </c>
      <c r="BW109" s="2" t="str">
        <f t="shared" ca="1" si="57"/>
        <v/>
      </c>
      <c r="BX109" s="2" t="str">
        <f t="shared" ca="1" si="57"/>
        <v/>
      </c>
      <c r="BY109" s="2" t="str">
        <f t="shared" ca="1" si="57"/>
        <v/>
      </c>
      <c r="BZ109" s="2" t="str">
        <f t="shared" ca="1" si="58"/>
        <v/>
      </c>
      <c r="CA109" s="2" t="str">
        <f t="shared" ca="1" si="58"/>
        <v/>
      </c>
      <c r="CB109" s="2" t="str">
        <f>'Client 13'!$P$80</f>
        <v/>
      </c>
      <c r="CC109" s="2" t="str">
        <f>'Client 13'!P$81</f>
        <v/>
      </c>
      <c r="CD109" s="2" t="str">
        <f>'Client 13'!P$82</f>
        <v/>
      </c>
    </row>
    <row r="110" spans="1:82" x14ac:dyDescent="0.2">
      <c r="A110" s="68">
        <v>1</v>
      </c>
      <c r="B110" s="349">
        <f>'Client 1'!T27</f>
        <v>0</v>
      </c>
      <c r="C110" s="2">
        <f>'Client 1'!U27</f>
        <v>0</v>
      </c>
      <c r="D110" s="2">
        <f>'Client 1'!V27</f>
        <v>0</v>
      </c>
      <c r="E110" s="2">
        <f>'Client 1'!W27</f>
        <v>0</v>
      </c>
      <c r="F110" s="350">
        <f>'Client 1'!X27</f>
        <v>0</v>
      </c>
      <c r="G110" s="2">
        <f>'Client 1'!Y27</f>
        <v>0</v>
      </c>
      <c r="H110" s="2">
        <f>'Client 1'!Z27</f>
        <v>0</v>
      </c>
      <c r="I110" s="2">
        <f>'Client 1'!AA27</f>
        <v>0</v>
      </c>
      <c r="J110" s="2">
        <f>'Client 1'!AB27</f>
        <v>0</v>
      </c>
      <c r="K110" s="2">
        <f>'Client 1'!AC27</f>
        <v>0</v>
      </c>
      <c r="L110" s="2" cm="1">
        <f t="array" aca="1" ref="L110" ca="1">IF(B110=0,0,INDIRECT("MRN_"&amp;A110))</f>
        <v>0</v>
      </c>
      <c r="M110" s="2">
        <f t="shared" si="51"/>
        <v>0</v>
      </c>
      <c r="N110" s="2" t="str">
        <f t="shared" si="52"/>
        <v>No</v>
      </c>
      <c r="O110" s="2" t="str">
        <f t="shared" si="53"/>
        <v>No</v>
      </c>
      <c r="P110" s="2" t="str" cm="1">
        <f t="array" aca="1" ref="P110" ca="1">IF(OR(INDIRECT("MRN_"&amp;A110)="N/A",B110=0),"No","Yes")</f>
        <v>No</v>
      </c>
      <c r="S110" s="2" t="s">
        <v>28</v>
      </c>
      <c r="T110" s="2" t="str">
        <f>IF(MRN_14="N/A","No","Yes")</f>
        <v>No</v>
      </c>
      <c r="U110" s="2"/>
      <c r="V110" s="2" t="str">
        <f t="shared" ca="1" si="55"/>
        <v/>
      </c>
      <c r="W110" s="2" t="str">
        <f t="shared" ca="1" si="55"/>
        <v/>
      </c>
      <c r="X110" s="2" t="str">
        <f t="shared" ca="1" si="55"/>
        <v/>
      </c>
      <c r="Y110" s="2" t="str">
        <f t="shared" ca="1" si="55"/>
        <v/>
      </c>
      <c r="Z110" s="2" t="str">
        <f t="shared" ca="1" si="55"/>
        <v/>
      </c>
      <c r="AA110" s="2" t="str">
        <f t="shared" ca="1" si="55"/>
        <v/>
      </c>
      <c r="AB110" s="2" t="str">
        <f t="shared" ca="1" si="55"/>
        <v/>
      </c>
      <c r="AC110" s="2" t="str">
        <f t="shared" ca="1" si="55"/>
        <v/>
      </c>
      <c r="AD110" s="2" t="str">
        <f t="shared" ca="1" si="55"/>
        <v/>
      </c>
      <c r="AE110" s="2" t="str">
        <f t="shared" ca="1" si="55"/>
        <v/>
      </c>
      <c r="AF110" s="2" t="str">
        <f t="shared" ca="1" si="55"/>
        <v/>
      </c>
      <c r="AG110" s="2"/>
      <c r="AH110" s="2" t="str">
        <f t="shared" ca="1" si="55"/>
        <v/>
      </c>
      <c r="AI110" s="2" t="str">
        <f t="shared" ca="1" si="55"/>
        <v/>
      </c>
      <c r="AJ110" s="2" t="str">
        <f t="shared" ca="1" si="55"/>
        <v/>
      </c>
      <c r="AK110" s="2" t="str">
        <f t="shared" ca="1" si="55"/>
        <v/>
      </c>
      <c r="AL110" s="2"/>
      <c r="AM110" s="2" t="str">
        <f>'Client 14'!P$30</f>
        <v/>
      </c>
      <c r="AN110" s="2" t="str">
        <f>'Client 14'!P$31</f>
        <v/>
      </c>
      <c r="AO110" s="2" t="str">
        <f>'Client 14'!P$32</f>
        <v/>
      </c>
      <c r="AP110" s="2" t="str">
        <f>'Client 14'!P$33</f>
        <v/>
      </c>
      <c r="AQ110" s="2"/>
      <c r="AR110" s="2" t="str">
        <f t="shared" ca="1" si="56"/>
        <v/>
      </c>
      <c r="AS110" s="2" t="str">
        <f t="shared" ca="1" si="56"/>
        <v/>
      </c>
      <c r="AT110" s="2" t="str">
        <f t="shared" ca="1" si="56"/>
        <v/>
      </c>
      <c r="AU110" s="2" t="str">
        <f t="shared" ca="1" si="56"/>
        <v/>
      </c>
      <c r="AV110" s="2" t="str">
        <f t="shared" ca="1" si="56"/>
        <v/>
      </c>
      <c r="AW110" s="2" t="str">
        <f t="shared" ca="1" si="56"/>
        <v/>
      </c>
      <c r="AX110" s="2" t="str">
        <f t="shared" ca="1" si="56"/>
        <v/>
      </c>
      <c r="AY110" s="2" t="str">
        <f t="shared" ca="1" si="56"/>
        <v/>
      </c>
      <c r="AZ110" s="2" t="str">
        <f t="shared" ca="1" si="56"/>
        <v/>
      </c>
      <c r="BA110" s="2" t="str">
        <f t="shared" ca="1" si="56"/>
        <v/>
      </c>
      <c r="BB110" s="2" t="str">
        <f t="shared" ca="1" si="56"/>
        <v/>
      </c>
      <c r="BC110" s="2" t="str">
        <f t="shared" ca="1" si="56"/>
        <v/>
      </c>
      <c r="BD110" s="2"/>
      <c r="BE110" s="2" t="str">
        <f t="shared" ca="1" si="56"/>
        <v/>
      </c>
      <c r="BF110" s="2" t="str">
        <f t="shared" ca="1" si="56"/>
        <v/>
      </c>
      <c r="BG110" s="2" t="str">
        <f t="shared" ca="1" si="56"/>
        <v/>
      </c>
      <c r="BH110" s="2" t="str">
        <f t="shared" ca="1" si="57"/>
        <v/>
      </c>
      <c r="BI110" s="2" t="str">
        <f t="shared" ca="1" si="57"/>
        <v/>
      </c>
      <c r="BJ110" s="2" t="str">
        <f t="shared" ca="1" si="57"/>
        <v/>
      </c>
      <c r="BK110" s="2" t="str">
        <f t="shared" ca="1" si="57"/>
        <v/>
      </c>
      <c r="BL110" s="2" t="str">
        <f>'Client 14'!$P$55</f>
        <v/>
      </c>
      <c r="BM110" s="2"/>
      <c r="BN110" s="2" t="str">
        <f t="shared" ca="1" si="57"/>
        <v/>
      </c>
      <c r="BO110" s="2" t="str">
        <f t="shared" ca="1" si="57"/>
        <v/>
      </c>
      <c r="BP110" s="2" t="str">
        <f t="shared" ca="1" si="57"/>
        <v/>
      </c>
      <c r="BQ110" s="2" t="str">
        <f t="shared" ca="1" si="57"/>
        <v/>
      </c>
      <c r="BR110" s="2" t="str">
        <f t="shared" ca="1" si="57"/>
        <v/>
      </c>
      <c r="BS110" s="2" t="str">
        <f>'Client 14'!$P$65</f>
        <v/>
      </c>
      <c r="BT110" s="2"/>
      <c r="BU110" s="2" t="str">
        <f t="shared" ca="1" si="57"/>
        <v/>
      </c>
      <c r="BV110" s="2" t="str">
        <f t="shared" ca="1" si="57"/>
        <v/>
      </c>
      <c r="BW110" s="2" t="str">
        <f t="shared" ca="1" si="57"/>
        <v/>
      </c>
      <c r="BX110" s="2" t="str">
        <f t="shared" ca="1" si="57"/>
        <v/>
      </c>
      <c r="BY110" s="2" t="str">
        <f t="shared" ca="1" si="57"/>
        <v/>
      </c>
      <c r="BZ110" s="2" t="str">
        <f t="shared" ca="1" si="58"/>
        <v/>
      </c>
      <c r="CA110" s="2" t="str">
        <f t="shared" ca="1" si="58"/>
        <v/>
      </c>
      <c r="CB110" s="2" t="str">
        <f>'Client 14'!$P$80</f>
        <v/>
      </c>
      <c r="CC110" s="2" t="str">
        <f>'Client 14'!P$81</f>
        <v/>
      </c>
      <c r="CD110" s="2" t="str">
        <f>'Client 14'!P$82</f>
        <v/>
      </c>
    </row>
    <row r="111" spans="1:82" x14ac:dyDescent="0.2">
      <c r="A111" s="68">
        <v>1</v>
      </c>
      <c r="B111" s="349">
        <f>'Client 1'!T28</f>
        <v>0</v>
      </c>
      <c r="C111" s="2">
        <f>'Client 1'!U28</f>
        <v>0</v>
      </c>
      <c r="D111" s="2">
        <f>'Client 1'!V28</f>
        <v>0</v>
      </c>
      <c r="E111" s="2">
        <f>'Client 1'!W28</f>
        <v>0</v>
      </c>
      <c r="F111" s="350">
        <f>'Client 1'!X28</f>
        <v>0</v>
      </c>
      <c r="G111" s="2">
        <f>'Client 1'!Y28</f>
        <v>0</v>
      </c>
      <c r="H111" s="2">
        <f>'Client 1'!Z28</f>
        <v>0</v>
      </c>
      <c r="I111" s="2">
        <f>'Client 1'!AA28</f>
        <v>0</v>
      </c>
      <c r="J111" s="2">
        <f>'Client 1'!AB28</f>
        <v>0</v>
      </c>
      <c r="K111" s="2">
        <f>'Client 1'!AC28</f>
        <v>0</v>
      </c>
      <c r="L111" s="2" cm="1">
        <f t="array" aca="1" ref="L111" ca="1">IF(B111=0,0,INDIRECT("MRN_"&amp;A111))</f>
        <v>0</v>
      </c>
      <c r="M111" s="2">
        <f t="shared" si="51"/>
        <v>0</v>
      </c>
      <c r="N111" s="2" t="str">
        <f t="shared" si="52"/>
        <v>No</v>
      </c>
      <c r="O111" s="2" t="str">
        <f t="shared" si="53"/>
        <v>No</v>
      </c>
      <c r="P111" s="2" t="str" cm="1">
        <f t="array" aca="1" ref="P111" ca="1">IF(OR(INDIRECT("MRN_"&amp;A111)="N/A",B111=0),"No","Yes")</f>
        <v>No</v>
      </c>
      <c r="S111" s="2" t="s">
        <v>29</v>
      </c>
      <c r="T111" s="2" t="str">
        <f>IF(MRN_15="N/A","No","Yes")</f>
        <v>No</v>
      </c>
      <c r="U111" s="2"/>
      <c r="V111" s="2" t="str">
        <f t="shared" ca="1" si="55"/>
        <v/>
      </c>
      <c r="W111" s="2" t="str">
        <f t="shared" ca="1" si="55"/>
        <v/>
      </c>
      <c r="X111" s="2" t="str">
        <f t="shared" ca="1" si="55"/>
        <v/>
      </c>
      <c r="Y111" s="2" t="str">
        <f t="shared" ca="1" si="55"/>
        <v/>
      </c>
      <c r="Z111" s="2" t="str">
        <f t="shared" ca="1" si="55"/>
        <v/>
      </c>
      <c r="AA111" s="2" t="str">
        <f t="shared" ca="1" si="55"/>
        <v/>
      </c>
      <c r="AB111" s="2" t="str">
        <f t="shared" ca="1" si="55"/>
        <v/>
      </c>
      <c r="AC111" s="2" t="str">
        <f t="shared" ca="1" si="55"/>
        <v/>
      </c>
      <c r="AD111" s="2" t="str">
        <f t="shared" ca="1" si="55"/>
        <v/>
      </c>
      <c r="AE111" s="2" t="str">
        <f t="shared" ca="1" si="55"/>
        <v/>
      </c>
      <c r="AF111" s="2" t="str">
        <f t="shared" ca="1" si="55"/>
        <v/>
      </c>
      <c r="AG111" s="2"/>
      <c r="AH111" s="2" t="str">
        <f t="shared" ca="1" si="55"/>
        <v/>
      </c>
      <c r="AI111" s="2" t="str">
        <f t="shared" ca="1" si="55"/>
        <v/>
      </c>
      <c r="AJ111" s="2" t="str">
        <f t="shared" ca="1" si="55"/>
        <v/>
      </c>
      <c r="AK111" s="2" t="str">
        <f t="shared" ca="1" si="55"/>
        <v/>
      </c>
      <c r="AL111" s="2"/>
      <c r="AM111" s="2" t="str">
        <f>'Client 15'!P$30</f>
        <v/>
      </c>
      <c r="AN111" s="2" t="str">
        <f>'Client 15'!P$31</f>
        <v/>
      </c>
      <c r="AO111" s="2" t="str">
        <f>'Client 15'!P$32</f>
        <v/>
      </c>
      <c r="AP111" s="2" t="str">
        <f>'Client 15'!P$33</f>
        <v/>
      </c>
      <c r="AQ111" s="2"/>
      <c r="AR111" s="2" t="str">
        <f t="shared" ca="1" si="56"/>
        <v/>
      </c>
      <c r="AS111" s="2" t="str">
        <f t="shared" ca="1" si="56"/>
        <v/>
      </c>
      <c r="AT111" s="2" t="str">
        <f t="shared" ca="1" si="56"/>
        <v/>
      </c>
      <c r="AU111" s="2" t="str">
        <f t="shared" ca="1" si="56"/>
        <v/>
      </c>
      <c r="AV111" s="2" t="str">
        <f t="shared" ca="1" si="56"/>
        <v/>
      </c>
      <c r="AW111" s="2" t="str">
        <f t="shared" ca="1" si="56"/>
        <v/>
      </c>
      <c r="AX111" s="2" t="str">
        <f t="shared" ca="1" si="56"/>
        <v/>
      </c>
      <c r="AY111" s="2" t="str">
        <f t="shared" ca="1" si="56"/>
        <v/>
      </c>
      <c r="AZ111" s="2" t="str">
        <f t="shared" ca="1" si="56"/>
        <v/>
      </c>
      <c r="BA111" s="2" t="str">
        <f t="shared" ca="1" si="56"/>
        <v/>
      </c>
      <c r="BB111" s="2" t="str">
        <f t="shared" ca="1" si="56"/>
        <v/>
      </c>
      <c r="BC111" s="2" t="str">
        <f t="shared" ca="1" si="56"/>
        <v/>
      </c>
      <c r="BD111" s="2"/>
      <c r="BE111" s="2" t="str">
        <f t="shared" ca="1" si="56"/>
        <v/>
      </c>
      <c r="BF111" s="2" t="str">
        <f t="shared" ca="1" si="56"/>
        <v/>
      </c>
      <c r="BG111" s="2" t="str">
        <f t="shared" ca="1" si="56"/>
        <v/>
      </c>
      <c r="BH111" s="2" t="str">
        <f t="shared" ca="1" si="57"/>
        <v/>
      </c>
      <c r="BI111" s="2" t="str">
        <f t="shared" ca="1" si="57"/>
        <v/>
      </c>
      <c r="BJ111" s="2" t="str">
        <f t="shared" ca="1" si="57"/>
        <v/>
      </c>
      <c r="BK111" s="2" t="str">
        <f t="shared" ca="1" si="57"/>
        <v/>
      </c>
      <c r="BL111" s="2" t="str">
        <f>'Client 15'!$P$55</f>
        <v/>
      </c>
      <c r="BM111" s="2"/>
      <c r="BN111" s="2" t="str">
        <f t="shared" ca="1" si="57"/>
        <v/>
      </c>
      <c r="BO111" s="2" t="str">
        <f t="shared" ca="1" si="57"/>
        <v/>
      </c>
      <c r="BP111" s="2" t="str">
        <f t="shared" ca="1" si="57"/>
        <v/>
      </c>
      <c r="BQ111" s="2" t="str">
        <f t="shared" ca="1" si="57"/>
        <v/>
      </c>
      <c r="BR111" s="2" t="str">
        <f t="shared" ca="1" si="57"/>
        <v/>
      </c>
      <c r="BS111" s="2" t="str">
        <f>'Client 15'!$P$65</f>
        <v/>
      </c>
      <c r="BT111" s="2"/>
      <c r="BU111" s="2" t="str">
        <f t="shared" ca="1" si="57"/>
        <v/>
      </c>
      <c r="BV111" s="2" t="str">
        <f t="shared" ca="1" si="57"/>
        <v/>
      </c>
      <c r="BW111" s="2" t="str">
        <f t="shared" ca="1" si="57"/>
        <v/>
      </c>
      <c r="BX111" s="2" t="str">
        <f t="shared" ca="1" si="57"/>
        <v/>
      </c>
      <c r="BY111" s="2" t="str">
        <f t="shared" ca="1" si="57"/>
        <v/>
      </c>
      <c r="BZ111" s="2" t="str">
        <f t="shared" ca="1" si="58"/>
        <v/>
      </c>
      <c r="CA111" s="2" t="str">
        <f t="shared" ca="1" si="58"/>
        <v/>
      </c>
      <c r="CB111" s="2" t="str">
        <f>'Client 15'!$P$80</f>
        <v/>
      </c>
      <c r="CC111" s="2" t="str">
        <f>'Client 15'!P$81</f>
        <v/>
      </c>
      <c r="CD111" s="2" t="str">
        <f>'Client 15'!P$82</f>
        <v/>
      </c>
    </row>
    <row r="112" spans="1:82" x14ac:dyDescent="0.2">
      <c r="A112" s="68">
        <v>1</v>
      </c>
      <c r="B112" s="349">
        <f>'Client 1'!T29</f>
        <v>0</v>
      </c>
      <c r="C112" s="2">
        <f>'Client 1'!U29</f>
        <v>0</v>
      </c>
      <c r="D112" s="2">
        <f>'Client 1'!V29</f>
        <v>0</v>
      </c>
      <c r="E112" s="2">
        <f>'Client 1'!W29</f>
        <v>0</v>
      </c>
      <c r="F112" s="350">
        <f>'Client 1'!X29</f>
        <v>0</v>
      </c>
      <c r="G112" s="2">
        <f>'Client 1'!Y29</f>
        <v>0</v>
      </c>
      <c r="H112" s="2">
        <f>'Client 1'!Z29</f>
        <v>0</v>
      </c>
      <c r="I112" s="2">
        <f>'Client 1'!AA29</f>
        <v>0</v>
      </c>
      <c r="J112" s="2">
        <f>'Client 1'!AB29</f>
        <v>0</v>
      </c>
      <c r="K112" s="2">
        <f>'Client 1'!AC29</f>
        <v>0</v>
      </c>
      <c r="L112" s="2" cm="1">
        <f t="array" aca="1" ref="L112" ca="1">IF(B112=0,0,INDIRECT("MRN_"&amp;A112))</f>
        <v>0</v>
      </c>
      <c r="M112" s="2">
        <f t="shared" si="51"/>
        <v>0</v>
      </c>
      <c r="N112" s="2" t="str">
        <f t="shared" si="52"/>
        <v>No</v>
      </c>
      <c r="O112" s="2" t="str">
        <f t="shared" si="53"/>
        <v>No</v>
      </c>
      <c r="P112" s="2" t="str" cm="1">
        <f t="array" aca="1" ref="P112" ca="1">IF(OR(INDIRECT("MRN_"&amp;A112)="N/A",B112=0),"No","Yes")</f>
        <v>No</v>
      </c>
      <c r="S112" s="2" t="s">
        <v>30</v>
      </c>
      <c r="T112" s="2" t="str">
        <f>IF(MRN_16="N/A","No","Yes")</f>
        <v>No</v>
      </c>
      <c r="U112" s="2"/>
      <c r="V112" s="2" t="str">
        <f t="shared" ca="1" si="55"/>
        <v/>
      </c>
      <c r="W112" s="2" t="str">
        <f t="shared" ca="1" si="55"/>
        <v/>
      </c>
      <c r="X112" s="2" t="str">
        <f t="shared" ca="1" si="55"/>
        <v/>
      </c>
      <c r="Y112" s="2" t="str">
        <f t="shared" ca="1" si="55"/>
        <v/>
      </c>
      <c r="Z112" s="2" t="str">
        <f t="shared" ca="1" si="55"/>
        <v/>
      </c>
      <c r="AA112" s="2" t="str">
        <f t="shared" ca="1" si="55"/>
        <v/>
      </c>
      <c r="AB112" s="2" t="str">
        <f t="shared" ca="1" si="55"/>
        <v/>
      </c>
      <c r="AC112" s="2" t="str">
        <f t="shared" ca="1" si="55"/>
        <v/>
      </c>
      <c r="AD112" s="2" t="str">
        <f t="shared" ca="1" si="55"/>
        <v/>
      </c>
      <c r="AE112" s="2" t="str">
        <f t="shared" ca="1" si="55"/>
        <v/>
      </c>
      <c r="AF112" s="2" t="str">
        <f t="shared" ca="1" si="55"/>
        <v/>
      </c>
      <c r="AG112" s="2"/>
      <c r="AH112" s="2" t="str">
        <f t="shared" ca="1" si="55"/>
        <v/>
      </c>
      <c r="AI112" s="2" t="str">
        <f t="shared" ca="1" si="55"/>
        <v/>
      </c>
      <c r="AJ112" s="2" t="str">
        <f t="shared" ca="1" si="55"/>
        <v/>
      </c>
      <c r="AK112" s="2" t="str">
        <f t="shared" ca="1" si="55"/>
        <v/>
      </c>
      <c r="AL112" s="2"/>
      <c r="AM112" s="2" t="str">
        <f>'Client 16'!P$30</f>
        <v/>
      </c>
      <c r="AN112" s="2" t="str">
        <f>'Client 16'!P$31</f>
        <v/>
      </c>
      <c r="AO112" s="2" t="str">
        <f>'Client 16'!P$32</f>
        <v/>
      </c>
      <c r="AP112" s="2" t="str">
        <f>'Client 16'!P$33</f>
        <v/>
      </c>
      <c r="AQ112" s="2"/>
      <c r="AR112" s="2" t="str">
        <f t="shared" ca="1" si="56"/>
        <v/>
      </c>
      <c r="AS112" s="2" t="str">
        <f t="shared" ca="1" si="56"/>
        <v/>
      </c>
      <c r="AT112" s="2" t="str">
        <f t="shared" ca="1" si="56"/>
        <v/>
      </c>
      <c r="AU112" s="2" t="str">
        <f t="shared" ca="1" si="56"/>
        <v/>
      </c>
      <c r="AV112" s="2" t="str">
        <f t="shared" ca="1" si="56"/>
        <v/>
      </c>
      <c r="AW112" s="2" t="str">
        <f t="shared" ca="1" si="56"/>
        <v/>
      </c>
      <c r="AX112" s="2" t="str">
        <f t="shared" ca="1" si="56"/>
        <v/>
      </c>
      <c r="AY112" s="2" t="str">
        <f t="shared" ca="1" si="56"/>
        <v/>
      </c>
      <c r="AZ112" s="2" t="str">
        <f t="shared" ca="1" si="56"/>
        <v/>
      </c>
      <c r="BA112" s="2" t="str">
        <f t="shared" ca="1" si="56"/>
        <v/>
      </c>
      <c r="BB112" s="2" t="str">
        <f t="shared" ca="1" si="56"/>
        <v/>
      </c>
      <c r="BC112" s="2" t="str">
        <f t="shared" ca="1" si="56"/>
        <v/>
      </c>
      <c r="BD112" s="2"/>
      <c r="BE112" s="2" t="str">
        <f t="shared" ca="1" si="56"/>
        <v/>
      </c>
      <c r="BF112" s="2" t="str">
        <f t="shared" ca="1" si="56"/>
        <v/>
      </c>
      <c r="BG112" s="2" t="str">
        <f t="shared" ca="1" si="56"/>
        <v/>
      </c>
      <c r="BH112" s="2" t="str">
        <f t="shared" ca="1" si="57"/>
        <v/>
      </c>
      <c r="BI112" s="2" t="str">
        <f t="shared" ca="1" si="57"/>
        <v/>
      </c>
      <c r="BJ112" s="2" t="str">
        <f t="shared" ca="1" si="57"/>
        <v/>
      </c>
      <c r="BK112" s="2" t="str">
        <f t="shared" ca="1" si="57"/>
        <v/>
      </c>
      <c r="BL112" s="2" t="str">
        <f>'Client 16'!$P$55</f>
        <v/>
      </c>
      <c r="BM112" s="2"/>
      <c r="BN112" s="2" t="str">
        <f t="shared" ca="1" si="57"/>
        <v/>
      </c>
      <c r="BO112" s="2" t="str">
        <f t="shared" ca="1" si="57"/>
        <v/>
      </c>
      <c r="BP112" s="2" t="str">
        <f t="shared" ca="1" si="57"/>
        <v/>
      </c>
      <c r="BQ112" s="2" t="str">
        <f t="shared" ca="1" si="57"/>
        <v/>
      </c>
      <c r="BR112" s="2" t="str">
        <f t="shared" ca="1" si="57"/>
        <v/>
      </c>
      <c r="BS112" s="2" t="str">
        <f>'Client 16'!$P$65</f>
        <v/>
      </c>
      <c r="BT112" s="2"/>
      <c r="BU112" s="2" t="str">
        <f t="shared" ca="1" si="57"/>
        <v/>
      </c>
      <c r="BV112" s="2" t="str">
        <f t="shared" ca="1" si="57"/>
        <v/>
      </c>
      <c r="BW112" s="2" t="str">
        <f t="shared" ca="1" si="57"/>
        <v/>
      </c>
      <c r="BX112" s="2" t="str">
        <f t="shared" ca="1" si="57"/>
        <v/>
      </c>
      <c r="BY112" s="2" t="str">
        <f t="shared" ca="1" si="57"/>
        <v/>
      </c>
      <c r="BZ112" s="2" t="str">
        <f t="shared" ca="1" si="58"/>
        <v/>
      </c>
      <c r="CA112" s="2" t="str">
        <f t="shared" ca="1" si="58"/>
        <v/>
      </c>
      <c r="CB112" s="2" t="str">
        <f>'Client 16'!$P$80</f>
        <v/>
      </c>
      <c r="CC112" s="2" t="str">
        <f>'Client 16'!P$81</f>
        <v/>
      </c>
      <c r="CD112" s="2" t="str">
        <f>'Client 16'!P$82</f>
        <v/>
      </c>
    </row>
    <row r="113" spans="1:82" x14ac:dyDescent="0.2">
      <c r="A113" s="68">
        <v>1</v>
      </c>
      <c r="B113" s="349">
        <f>'Client 1'!T30</f>
        <v>0</v>
      </c>
      <c r="C113" s="2">
        <f>'Client 1'!U30</f>
        <v>0</v>
      </c>
      <c r="D113" s="2">
        <f>'Client 1'!V30</f>
        <v>0</v>
      </c>
      <c r="E113" s="2">
        <f>'Client 1'!W30</f>
        <v>0</v>
      </c>
      <c r="F113" s="350">
        <f>'Client 1'!X30</f>
        <v>0</v>
      </c>
      <c r="G113" s="2">
        <f>'Client 1'!Y30</f>
        <v>0</v>
      </c>
      <c r="H113" s="2">
        <f>'Client 1'!Z30</f>
        <v>0</v>
      </c>
      <c r="I113" s="2">
        <f>'Client 1'!AA30</f>
        <v>0</v>
      </c>
      <c r="J113" s="2">
        <f>'Client 1'!AB30</f>
        <v>0</v>
      </c>
      <c r="K113" s="2">
        <f>'Client 1'!AC30</f>
        <v>0</v>
      </c>
      <c r="L113" s="2" cm="1">
        <f t="array" aca="1" ref="L113" ca="1">IF(B113=0,0,INDIRECT("MRN_"&amp;A113))</f>
        <v>0</v>
      </c>
      <c r="M113" s="2">
        <f t="shared" si="51"/>
        <v>0</v>
      </c>
      <c r="N113" s="2" t="str">
        <f t="shared" si="52"/>
        <v>No</v>
      </c>
      <c r="O113" s="2" t="str">
        <f t="shared" si="53"/>
        <v>No</v>
      </c>
      <c r="P113" s="2" t="str" cm="1">
        <f t="array" aca="1" ref="P113" ca="1">IF(OR(INDIRECT("MRN_"&amp;A113)="N/A",B113=0),"No","Yes")</f>
        <v>No</v>
      </c>
      <c r="S113" s="2" t="s">
        <v>31</v>
      </c>
      <c r="T113" s="2" t="str">
        <f>IF(MRN_17="N/A","No","Yes")</f>
        <v>No</v>
      </c>
      <c r="U113" s="2"/>
      <c r="V113" s="2" t="str">
        <f t="shared" ca="1" si="55"/>
        <v/>
      </c>
      <c r="W113" s="2" t="str">
        <f t="shared" ca="1" si="55"/>
        <v/>
      </c>
      <c r="X113" s="2" t="str">
        <f t="shared" ca="1" si="55"/>
        <v/>
      </c>
      <c r="Y113" s="2" t="str">
        <f t="shared" ca="1" si="55"/>
        <v/>
      </c>
      <c r="Z113" s="2" t="str">
        <f t="shared" ca="1" si="55"/>
        <v/>
      </c>
      <c r="AA113" s="2" t="str">
        <f t="shared" ca="1" si="55"/>
        <v/>
      </c>
      <c r="AB113" s="2" t="str">
        <f t="shared" ca="1" si="55"/>
        <v/>
      </c>
      <c r="AC113" s="2" t="str">
        <f t="shared" ca="1" si="55"/>
        <v/>
      </c>
      <c r="AD113" s="2" t="str">
        <f t="shared" ca="1" si="55"/>
        <v/>
      </c>
      <c r="AE113" s="2" t="str">
        <f t="shared" ca="1" si="55"/>
        <v/>
      </c>
      <c r="AF113" s="2" t="str">
        <f t="shared" ca="1" si="55"/>
        <v/>
      </c>
      <c r="AG113" s="2"/>
      <c r="AH113" s="2" t="str">
        <f t="shared" ca="1" si="55"/>
        <v/>
      </c>
      <c r="AI113" s="2" t="str">
        <f t="shared" ca="1" si="55"/>
        <v/>
      </c>
      <c r="AJ113" s="2" t="str">
        <f t="shared" ca="1" si="55"/>
        <v/>
      </c>
      <c r="AK113" s="2" t="str">
        <f t="shared" ca="1" si="55"/>
        <v/>
      </c>
      <c r="AL113" s="2"/>
      <c r="AM113" s="2" t="str">
        <f>'Client 17'!P$30</f>
        <v/>
      </c>
      <c r="AN113" s="2" t="str">
        <f>'Client 17'!P$31</f>
        <v/>
      </c>
      <c r="AO113" s="2" t="str">
        <f>'Client 17'!P$32</f>
        <v/>
      </c>
      <c r="AP113" s="2" t="str">
        <f>'Client 17'!P$33</f>
        <v/>
      </c>
      <c r="AQ113" s="2"/>
      <c r="AR113" s="2" t="str">
        <f t="shared" ca="1" si="56"/>
        <v/>
      </c>
      <c r="AS113" s="2" t="str">
        <f t="shared" ca="1" si="56"/>
        <v/>
      </c>
      <c r="AT113" s="2" t="str">
        <f t="shared" ca="1" si="56"/>
        <v/>
      </c>
      <c r="AU113" s="2" t="str">
        <f t="shared" ca="1" si="56"/>
        <v/>
      </c>
      <c r="AV113" s="2" t="str">
        <f t="shared" ca="1" si="56"/>
        <v/>
      </c>
      <c r="AW113" s="2" t="str">
        <f t="shared" ca="1" si="56"/>
        <v/>
      </c>
      <c r="AX113" s="2" t="str">
        <f t="shared" ca="1" si="56"/>
        <v/>
      </c>
      <c r="AY113" s="2" t="str">
        <f t="shared" ca="1" si="56"/>
        <v/>
      </c>
      <c r="AZ113" s="2" t="str">
        <f t="shared" ca="1" si="56"/>
        <v/>
      </c>
      <c r="BA113" s="2" t="str">
        <f t="shared" ca="1" si="56"/>
        <v/>
      </c>
      <c r="BB113" s="2" t="str">
        <f t="shared" ca="1" si="56"/>
        <v/>
      </c>
      <c r="BC113" s="2" t="str">
        <f t="shared" ca="1" si="56"/>
        <v/>
      </c>
      <c r="BD113" s="2"/>
      <c r="BE113" s="2" t="str">
        <f t="shared" ca="1" si="56"/>
        <v/>
      </c>
      <c r="BF113" s="2" t="str">
        <f t="shared" ca="1" si="56"/>
        <v/>
      </c>
      <c r="BG113" s="2" t="str">
        <f t="shared" ca="1" si="56"/>
        <v/>
      </c>
      <c r="BH113" s="2" t="str">
        <f t="shared" ca="1" si="57"/>
        <v/>
      </c>
      <c r="BI113" s="2" t="str">
        <f t="shared" ca="1" si="57"/>
        <v/>
      </c>
      <c r="BJ113" s="2" t="str">
        <f t="shared" ca="1" si="57"/>
        <v/>
      </c>
      <c r="BK113" s="2" t="str">
        <f t="shared" ca="1" si="57"/>
        <v/>
      </c>
      <c r="BL113" s="2" t="str">
        <f>'Client 17'!$P$55</f>
        <v/>
      </c>
      <c r="BM113" s="2"/>
      <c r="BN113" s="2" t="str">
        <f t="shared" ca="1" si="57"/>
        <v/>
      </c>
      <c r="BO113" s="2" t="str">
        <f t="shared" ca="1" si="57"/>
        <v/>
      </c>
      <c r="BP113" s="2" t="str">
        <f t="shared" ca="1" si="57"/>
        <v/>
      </c>
      <c r="BQ113" s="2" t="str">
        <f t="shared" ca="1" si="57"/>
        <v/>
      </c>
      <c r="BR113" s="2" t="str">
        <f t="shared" ca="1" si="57"/>
        <v/>
      </c>
      <c r="BS113" s="2" t="str">
        <f>'Client 17'!$P$65</f>
        <v/>
      </c>
      <c r="BT113" s="2"/>
      <c r="BU113" s="2" t="str">
        <f t="shared" ca="1" si="57"/>
        <v/>
      </c>
      <c r="BV113" s="2" t="str">
        <f t="shared" ca="1" si="57"/>
        <v/>
      </c>
      <c r="BW113" s="2" t="str">
        <f t="shared" ca="1" si="57"/>
        <v/>
      </c>
      <c r="BX113" s="2" t="str">
        <f t="shared" ca="1" si="57"/>
        <v/>
      </c>
      <c r="BY113" s="2" t="str">
        <f t="shared" ca="1" si="57"/>
        <v/>
      </c>
      <c r="BZ113" s="2" t="str">
        <f t="shared" ca="1" si="58"/>
        <v/>
      </c>
      <c r="CA113" s="2" t="str">
        <f t="shared" ca="1" si="58"/>
        <v/>
      </c>
      <c r="CB113" s="2" t="str">
        <f>'Client 17'!$P$80</f>
        <v/>
      </c>
      <c r="CC113" s="2" t="str">
        <f>'Client 17'!P$81</f>
        <v/>
      </c>
      <c r="CD113" s="2" t="str">
        <f>'Client 17'!P$82</f>
        <v/>
      </c>
    </row>
    <row r="114" spans="1:82" x14ac:dyDescent="0.2">
      <c r="A114" s="68">
        <v>1</v>
      </c>
      <c r="B114" s="349">
        <f>'Client 1'!T31</f>
        <v>0</v>
      </c>
      <c r="C114" s="2">
        <f>'Client 1'!U31</f>
        <v>0</v>
      </c>
      <c r="D114" s="2">
        <f>'Client 1'!V31</f>
        <v>0</v>
      </c>
      <c r="E114" s="2">
        <f>'Client 1'!W31</f>
        <v>0</v>
      </c>
      <c r="F114" s="350">
        <f>'Client 1'!X31</f>
        <v>0</v>
      </c>
      <c r="G114" s="2">
        <f>'Client 1'!Y31</f>
        <v>0</v>
      </c>
      <c r="H114" s="2">
        <f>'Client 1'!Z31</f>
        <v>0</v>
      </c>
      <c r="I114" s="2">
        <f>'Client 1'!AA31</f>
        <v>0</v>
      </c>
      <c r="J114" s="2">
        <f>'Client 1'!AB31</f>
        <v>0</v>
      </c>
      <c r="K114" s="2">
        <f>'Client 1'!AC31</f>
        <v>0</v>
      </c>
      <c r="L114" s="2" cm="1">
        <f t="array" aca="1" ref="L114" ca="1">IF(B114=0,0,INDIRECT("MRN_"&amp;A114))</f>
        <v>0</v>
      </c>
      <c r="M114" s="2">
        <f t="shared" si="51"/>
        <v>0</v>
      </c>
      <c r="N114" s="2" t="str">
        <f t="shared" si="52"/>
        <v>No</v>
      </c>
      <c r="O114" s="2" t="str">
        <f t="shared" si="53"/>
        <v>No</v>
      </c>
      <c r="P114" s="2" t="str" cm="1">
        <f t="array" aca="1" ref="P114" ca="1">IF(OR(INDIRECT("MRN_"&amp;A114)="N/A",B114=0),"No","Yes")</f>
        <v>No</v>
      </c>
      <c r="S114" s="2" t="s">
        <v>32</v>
      </c>
      <c r="T114" s="2" t="str">
        <f>IF(MRN_18="N/A","No","Yes")</f>
        <v>No</v>
      </c>
      <c r="U114" s="2"/>
      <c r="V114" s="2" t="str">
        <f t="shared" ca="1" si="55"/>
        <v/>
      </c>
      <c r="W114" s="2" t="str">
        <f t="shared" ca="1" si="55"/>
        <v/>
      </c>
      <c r="X114" s="2" t="str">
        <f t="shared" ca="1" si="55"/>
        <v/>
      </c>
      <c r="Y114" s="2" t="str">
        <f t="shared" ca="1" si="55"/>
        <v/>
      </c>
      <c r="Z114" s="2" t="str">
        <f t="shared" ca="1" si="55"/>
        <v/>
      </c>
      <c r="AA114" s="2" t="str">
        <f t="shared" ca="1" si="55"/>
        <v/>
      </c>
      <c r="AB114" s="2" t="str">
        <f t="shared" ca="1" si="55"/>
        <v/>
      </c>
      <c r="AC114" s="2" t="str">
        <f t="shared" ca="1" si="55"/>
        <v/>
      </c>
      <c r="AD114" s="2" t="str">
        <f t="shared" ca="1" si="55"/>
        <v/>
      </c>
      <c r="AE114" s="2" t="str">
        <f t="shared" ca="1" si="55"/>
        <v/>
      </c>
      <c r="AF114" s="2" t="str">
        <f t="shared" ca="1" si="55"/>
        <v/>
      </c>
      <c r="AG114" s="2"/>
      <c r="AH114" s="2" t="str">
        <f t="shared" ca="1" si="55"/>
        <v/>
      </c>
      <c r="AI114" s="2" t="str">
        <f t="shared" ca="1" si="55"/>
        <v/>
      </c>
      <c r="AJ114" s="2" t="str">
        <f t="shared" ca="1" si="55"/>
        <v/>
      </c>
      <c r="AK114" s="2" t="str">
        <f t="shared" ca="1" si="55"/>
        <v/>
      </c>
      <c r="AL114" s="2"/>
      <c r="AM114" s="2" t="str">
        <f>'Client 18'!P$30</f>
        <v/>
      </c>
      <c r="AN114" s="2" t="str">
        <f>'Client 18'!P$31</f>
        <v/>
      </c>
      <c r="AO114" s="2" t="str">
        <f>'Client 18'!P$32</f>
        <v/>
      </c>
      <c r="AP114" s="2" t="str">
        <f>'Client 18'!P$33</f>
        <v/>
      </c>
      <c r="AQ114" s="2"/>
      <c r="AR114" s="2" t="str">
        <f t="shared" ca="1" si="56"/>
        <v/>
      </c>
      <c r="AS114" s="2" t="str">
        <f t="shared" ca="1" si="56"/>
        <v/>
      </c>
      <c r="AT114" s="2" t="str">
        <f t="shared" ca="1" si="56"/>
        <v/>
      </c>
      <c r="AU114" s="2" t="str">
        <f t="shared" ca="1" si="56"/>
        <v/>
      </c>
      <c r="AV114" s="2" t="str">
        <f t="shared" ca="1" si="56"/>
        <v/>
      </c>
      <c r="AW114" s="2" t="str">
        <f t="shared" ca="1" si="56"/>
        <v/>
      </c>
      <c r="AX114" s="2" t="str">
        <f t="shared" ca="1" si="56"/>
        <v/>
      </c>
      <c r="AY114" s="2" t="str">
        <f t="shared" ca="1" si="56"/>
        <v/>
      </c>
      <c r="AZ114" s="2" t="str">
        <f t="shared" ca="1" si="56"/>
        <v/>
      </c>
      <c r="BA114" s="2" t="str">
        <f t="shared" ca="1" si="56"/>
        <v/>
      </c>
      <c r="BB114" s="2" t="str">
        <f t="shared" ca="1" si="56"/>
        <v/>
      </c>
      <c r="BC114" s="2" t="str">
        <f t="shared" ca="1" si="56"/>
        <v/>
      </c>
      <c r="BD114" s="2"/>
      <c r="BE114" s="2" t="str">
        <f t="shared" ca="1" si="56"/>
        <v/>
      </c>
      <c r="BF114" s="2" t="str">
        <f t="shared" ca="1" si="56"/>
        <v/>
      </c>
      <c r="BG114" s="2" t="str">
        <f t="shared" ca="1" si="56"/>
        <v/>
      </c>
      <c r="BH114" s="2" t="str">
        <f t="shared" ca="1" si="57"/>
        <v/>
      </c>
      <c r="BI114" s="2" t="str">
        <f t="shared" ca="1" si="57"/>
        <v/>
      </c>
      <c r="BJ114" s="2" t="str">
        <f t="shared" ca="1" si="57"/>
        <v/>
      </c>
      <c r="BK114" s="2" t="str">
        <f t="shared" ca="1" si="57"/>
        <v/>
      </c>
      <c r="BL114" s="2" t="str">
        <f>'Client 18'!$P$55</f>
        <v/>
      </c>
      <c r="BM114" s="2"/>
      <c r="BN114" s="2" t="str">
        <f t="shared" ca="1" si="57"/>
        <v/>
      </c>
      <c r="BO114" s="2" t="str">
        <f t="shared" ca="1" si="57"/>
        <v/>
      </c>
      <c r="BP114" s="2" t="str">
        <f t="shared" ca="1" si="57"/>
        <v/>
      </c>
      <c r="BQ114" s="2" t="str">
        <f t="shared" ca="1" si="57"/>
        <v/>
      </c>
      <c r="BR114" s="2" t="str">
        <f t="shared" ca="1" si="57"/>
        <v/>
      </c>
      <c r="BS114" s="2" t="str">
        <f>'Client 18'!$P$65</f>
        <v/>
      </c>
      <c r="BT114" s="2"/>
      <c r="BU114" s="2" t="str">
        <f t="shared" ca="1" si="57"/>
        <v/>
      </c>
      <c r="BV114" s="2" t="str">
        <f t="shared" ca="1" si="57"/>
        <v/>
      </c>
      <c r="BW114" s="2" t="str">
        <f t="shared" ca="1" si="57"/>
        <v/>
      </c>
      <c r="BX114" s="2" t="str">
        <f t="shared" ca="1" si="57"/>
        <v/>
      </c>
      <c r="BY114" s="2" t="str">
        <f t="shared" ca="1" si="57"/>
        <v/>
      </c>
      <c r="BZ114" s="2" t="str">
        <f t="shared" ca="1" si="58"/>
        <v/>
      </c>
      <c r="CA114" s="2" t="str">
        <f t="shared" ca="1" si="58"/>
        <v/>
      </c>
      <c r="CB114" s="2" t="str">
        <f>'Client 18'!$P$80</f>
        <v/>
      </c>
      <c r="CC114" s="2" t="str">
        <f>'Client 18'!P$81</f>
        <v/>
      </c>
      <c r="CD114" s="2" t="str">
        <f>'Client 18'!P$82</f>
        <v/>
      </c>
    </row>
    <row r="115" spans="1:82" x14ac:dyDescent="0.2">
      <c r="A115" s="68">
        <v>1</v>
      </c>
      <c r="B115" s="349">
        <f>'Client 1'!T32</f>
        <v>0</v>
      </c>
      <c r="C115" s="2">
        <f>'Client 1'!U32</f>
        <v>0</v>
      </c>
      <c r="D115" s="2">
        <f>'Client 1'!V32</f>
        <v>0</v>
      </c>
      <c r="E115" s="2">
        <f>'Client 1'!W32</f>
        <v>0</v>
      </c>
      <c r="F115" s="350">
        <f>'Client 1'!X32</f>
        <v>0</v>
      </c>
      <c r="G115" s="2">
        <f>'Client 1'!Y32</f>
        <v>0</v>
      </c>
      <c r="H115" s="2">
        <f>'Client 1'!Z32</f>
        <v>0</v>
      </c>
      <c r="I115" s="2">
        <f>'Client 1'!AA32</f>
        <v>0</v>
      </c>
      <c r="J115" s="2">
        <f>'Client 1'!AB32</f>
        <v>0</v>
      </c>
      <c r="K115" s="2">
        <f>'Client 1'!AC32</f>
        <v>0</v>
      </c>
      <c r="L115" s="2" cm="1">
        <f t="array" aca="1" ref="L115" ca="1">IF(B115=0,0,INDIRECT("MRN_"&amp;A115))</f>
        <v>0</v>
      </c>
      <c r="M115" s="2">
        <f t="shared" si="51"/>
        <v>0</v>
      </c>
      <c r="N115" s="2" t="str">
        <f t="shared" si="52"/>
        <v>No</v>
      </c>
      <c r="O115" s="2" t="str">
        <f t="shared" si="53"/>
        <v>No</v>
      </c>
      <c r="P115" s="2" t="str" cm="1">
        <f t="array" aca="1" ref="P115" ca="1">IF(OR(INDIRECT("MRN_"&amp;A115)="N/A",B115=0),"No","Yes")</f>
        <v>No</v>
      </c>
      <c r="S115" s="2" t="s">
        <v>33</v>
      </c>
      <c r="T115" s="2" t="str">
        <f>IF(MRN_19="N/A","No","Yes")</f>
        <v>No</v>
      </c>
      <c r="U115" s="2"/>
      <c r="V115" s="2" t="str">
        <f t="shared" ref="V115:AK116" ca="1" si="59">VLOOKUP(V$96,INDIRECT("'"&amp;$S115&amp;"'!$C$9:$P$79"),14,FALSE)</f>
        <v/>
      </c>
      <c r="W115" s="2" t="str">
        <f t="shared" ca="1" si="59"/>
        <v/>
      </c>
      <c r="X115" s="2" t="str">
        <f t="shared" ca="1" si="59"/>
        <v/>
      </c>
      <c r="Y115" s="2" t="str">
        <f t="shared" ca="1" si="59"/>
        <v/>
      </c>
      <c r="Z115" s="2" t="str">
        <f t="shared" ca="1" si="59"/>
        <v/>
      </c>
      <c r="AA115" s="2" t="str">
        <f t="shared" ca="1" si="59"/>
        <v/>
      </c>
      <c r="AB115" s="2" t="str">
        <f t="shared" ca="1" si="59"/>
        <v/>
      </c>
      <c r="AC115" s="2" t="str">
        <f t="shared" ca="1" si="59"/>
        <v/>
      </c>
      <c r="AD115" s="2" t="str">
        <f t="shared" ca="1" si="59"/>
        <v/>
      </c>
      <c r="AE115" s="2" t="str">
        <f t="shared" ca="1" si="59"/>
        <v/>
      </c>
      <c r="AF115" s="2" t="str">
        <f t="shared" ca="1" si="59"/>
        <v/>
      </c>
      <c r="AG115" s="2"/>
      <c r="AH115" s="2" t="str">
        <f t="shared" ca="1" si="59"/>
        <v/>
      </c>
      <c r="AI115" s="2" t="str">
        <f t="shared" ca="1" si="59"/>
        <v/>
      </c>
      <c r="AJ115" s="2" t="str">
        <f t="shared" ca="1" si="59"/>
        <v/>
      </c>
      <c r="AK115" s="2" t="str">
        <f t="shared" ca="1" si="59"/>
        <v/>
      </c>
      <c r="AL115" s="2"/>
      <c r="AM115" s="2" t="str">
        <f>'Client 19'!P$30</f>
        <v/>
      </c>
      <c r="AN115" s="2" t="str">
        <f>'Client 19'!P$31</f>
        <v/>
      </c>
      <c r="AO115" s="2" t="str">
        <f>'Client 19'!P$32</f>
        <v/>
      </c>
      <c r="AP115" s="2" t="str">
        <f>'Client 19'!P$33</f>
        <v/>
      </c>
      <c r="AQ115" s="2"/>
      <c r="AR115" s="2" t="str">
        <f t="shared" ref="AR115:BG116" ca="1" si="60">VLOOKUP(AR$96,INDIRECT("'"&amp;$S115&amp;"'!$C$9:$P$79"),14,FALSE)</f>
        <v/>
      </c>
      <c r="AS115" s="2" t="str">
        <f t="shared" ca="1" si="60"/>
        <v/>
      </c>
      <c r="AT115" s="2" t="str">
        <f t="shared" ca="1" si="60"/>
        <v/>
      </c>
      <c r="AU115" s="2" t="str">
        <f t="shared" ca="1" si="60"/>
        <v/>
      </c>
      <c r="AV115" s="2" t="str">
        <f t="shared" ca="1" si="60"/>
        <v/>
      </c>
      <c r="AW115" s="2" t="str">
        <f t="shared" ca="1" si="60"/>
        <v/>
      </c>
      <c r="AX115" s="2" t="str">
        <f t="shared" ca="1" si="60"/>
        <v/>
      </c>
      <c r="AY115" s="2" t="str">
        <f t="shared" ca="1" si="60"/>
        <v/>
      </c>
      <c r="AZ115" s="2" t="str">
        <f t="shared" ca="1" si="60"/>
        <v/>
      </c>
      <c r="BA115" s="2" t="str">
        <f t="shared" ca="1" si="60"/>
        <v/>
      </c>
      <c r="BB115" s="2" t="str">
        <f t="shared" ca="1" si="60"/>
        <v/>
      </c>
      <c r="BC115" s="2" t="str">
        <f t="shared" ca="1" si="60"/>
        <v/>
      </c>
      <c r="BD115" s="2"/>
      <c r="BE115" s="2" t="str">
        <f t="shared" ca="1" si="60"/>
        <v/>
      </c>
      <c r="BF115" s="2" t="str">
        <f t="shared" ca="1" si="60"/>
        <v/>
      </c>
      <c r="BG115" s="2" t="str">
        <f t="shared" ca="1" si="60"/>
        <v/>
      </c>
      <c r="BH115" s="2" t="str">
        <f t="shared" ca="1" si="57"/>
        <v/>
      </c>
      <c r="BI115" s="2" t="str">
        <f t="shared" ca="1" si="57"/>
        <v/>
      </c>
      <c r="BJ115" s="2" t="str">
        <f t="shared" ca="1" si="57"/>
        <v/>
      </c>
      <c r="BK115" s="2" t="str">
        <f t="shared" ca="1" si="57"/>
        <v/>
      </c>
      <c r="BL115" s="2" t="str">
        <f>'Client 19'!$P$55</f>
        <v/>
      </c>
      <c r="BM115" s="2"/>
      <c r="BN115" s="2" t="str">
        <f t="shared" ca="1" si="57"/>
        <v/>
      </c>
      <c r="BO115" s="2" t="str">
        <f t="shared" ca="1" si="57"/>
        <v/>
      </c>
      <c r="BP115" s="2" t="str">
        <f t="shared" ca="1" si="57"/>
        <v/>
      </c>
      <c r="BQ115" s="2" t="str">
        <f t="shared" ca="1" si="57"/>
        <v/>
      </c>
      <c r="BR115" s="2" t="str">
        <f t="shared" ca="1" si="57"/>
        <v/>
      </c>
      <c r="BS115" s="2" t="str">
        <f>'Client 19'!$P$65</f>
        <v/>
      </c>
      <c r="BT115" s="2"/>
      <c r="BU115" s="2" t="str">
        <f t="shared" ca="1" si="57"/>
        <v/>
      </c>
      <c r="BV115" s="2" t="str">
        <f t="shared" ca="1" si="57"/>
        <v/>
      </c>
      <c r="BW115" s="2" t="str">
        <f t="shared" ca="1" si="57"/>
        <v/>
      </c>
      <c r="BX115" s="2" t="str">
        <f t="shared" ca="1" si="57"/>
        <v/>
      </c>
      <c r="BY115" s="2" t="str">
        <f t="shared" ca="1" si="57"/>
        <v/>
      </c>
      <c r="BZ115" s="2" t="str">
        <f t="shared" ca="1" si="58"/>
        <v/>
      </c>
      <c r="CA115" s="2" t="str">
        <f t="shared" ca="1" si="58"/>
        <v/>
      </c>
      <c r="CB115" s="2" t="str">
        <f>'Client 19'!$P$80</f>
        <v/>
      </c>
      <c r="CC115" s="2" t="str">
        <f>'Client 19'!P$81</f>
        <v/>
      </c>
      <c r="CD115" s="2" t="str">
        <f>'Client 19'!P$82</f>
        <v/>
      </c>
    </row>
    <row r="116" spans="1:82" x14ac:dyDescent="0.2">
      <c r="A116" s="68">
        <v>1</v>
      </c>
      <c r="B116" s="349">
        <f>'Client 1'!T33</f>
        <v>0</v>
      </c>
      <c r="C116" s="2">
        <f>'Client 1'!U33</f>
        <v>0</v>
      </c>
      <c r="D116" s="2">
        <f>'Client 1'!V33</f>
        <v>0</v>
      </c>
      <c r="E116" s="2">
        <f>'Client 1'!W33</f>
        <v>0</v>
      </c>
      <c r="F116" s="350">
        <f>'Client 1'!X33</f>
        <v>0</v>
      </c>
      <c r="G116" s="2">
        <f>'Client 1'!Y33</f>
        <v>0</v>
      </c>
      <c r="H116" s="2">
        <f>'Client 1'!Z33</f>
        <v>0</v>
      </c>
      <c r="I116" s="2">
        <f>'Client 1'!AA33</f>
        <v>0</v>
      </c>
      <c r="J116" s="2">
        <f>'Client 1'!AB33</f>
        <v>0</v>
      </c>
      <c r="K116" s="2">
        <f>'Client 1'!AC33</f>
        <v>0</v>
      </c>
      <c r="L116" s="2" cm="1">
        <f t="array" aca="1" ref="L116" ca="1">IF(B116=0,0,INDIRECT("MRN_"&amp;A116))</f>
        <v>0</v>
      </c>
      <c r="M116" s="2">
        <f t="shared" si="51"/>
        <v>0</v>
      </c>
      <c r="N116" s="2" t="str">
        <f t="shared" si="52"/>
        <v>No</v>
      </c>
      <c r="O116" s="2" t="str">
        <f t="shared" si="53"/>
        <v>No</v>
      </c>
      <c r="P116" s="2" t="str" cm="1">
        <f t="array" aca="1" ref="P116" ca="1">IF(OR(INDIRECT("MRN_"&amp;A116)="N/A",B116=0),"No","Yes")</f>
        <v>No</v>
      </c>
      <c r="S116" s="2" t="s">
        <v>34</v>
      </c>
      <c r="T116" s="2" t="str">
        <f>IF(MRN_20="N/A","No","Yes")</f>
        <v>No</v>
      </c>
      <c r="U116" s="2"/>
      <c r="V116" s="2" t="str">
        <f t="shared" ca="1" si="59"/>
        <v/>
      </c>
      <c r="W116" s="2" t="str">
        <f t="shared" ca="1" si="59"/>
        <v/>
      </c>
      <c r="X116" s="2" t="str">
        <f t="shared" ca="1" si="59"/>
        <v/>
      </c>
      <c r="Y116" s="2" t="str">
        <f t="shared" ca="1" si="59"/>
        <v/>
      </c>
      <c r="Z116" s="2" t="str">
        <f t="shared" ca="1" si="59"/>
        <v/>
      </c>
      <c r="AA116" s="2" t="str">
        <f t="shared" ca="1" si="59"/>
        <v/>
      </c>
      <c r="AB116" s="2" t="str">
        <f t="shared" ca="1" si="59"/>
        <v/>
      </c>
      <c r="AC116" s="2" t="str">
        <f t="shared" ca="1" si="59"/>
        <v/>
      </c>
      <c r="AD116" s="2" t="str">
        <f t="shared" ca="1" si="59"/>
        <v/>
      </c>
      <c r="AE116" s="2" t="str">
        <f t="shared" ca="1" si="59"/>
        <v/>
      </c>
      <c r="AF116" s="2" t="str">
        <f t="shared" ca="1" si="59"/>
        <v/>
      </c>
      <c r="AG116" s="2"/>
      <c r="AH116" s="2" t="str">
        <f t="shared" ca="1" si="59"/>
        <v/>
      </c>
      <c r="AI116" s="2" t="str">
        <f t="shared" ca="1" si="59"/>
        <v/>
      </c>
      <c r="AJ116" s="2" t="str">
        <f t="shared" ca="1" si="59"/>
        <v/>
      </c>
      <c r="AK116" s="2" t="str">
        <f t="shared" ca="1" si="59"/>
        <v/>
      </c>
      <c r="AL116" s="2"/>
      <c r="AM116" s="2" t="str">
        <f>'Client 20'!P$30</f>
        <v/>
      </c>
      <c r="AN116" s="2" t="str">
        <f>'Client 20'!P$31</f>
        <v/>
      </c>
      <c r="AO116" s="2" t="str">
        <f>'Client 20'!P$32</f>
        <v/>
      </c>
      <c r="AP116" s="2" t="str">
        <f>'Client 20'!P$33</f>
        <v/>
      </c>
      <c r="AQ116" s="2"/>
      <c r="AR116" s="2" t="str">
        <f t="shared" ca="1" si="60"/>
        <v/>
      </c>
      <c r="AS116" s="2" t="str">
        <f t="shared" ca="1" si="60"/>
        <v/>
      </c>
      <c r="AT116" s="2" t="str">
        <f t="shared" ca="1" si="60"/>
        <v/>
      </c>
      <c r="AU116" s="2" t="str">
        <f t="shared" ca="1" si="60"/>
        <v/>
      </c>
      <c r="AV116" s="2" t="str">
        <f t="shared" ca="1" si="60"/>
        <v/>
      </c>
      <c r="AW116" s="2" t="str">
        <f t="shared" ca="1" si="60"/>
        <v/>
      </c>
      <c r="AX116" s="2" t="str">
        <f t="shared" ca="1" si="60"/>
        <v/>
      </c>
      <c r="AY116" s="2" t="str">
        <f t="shared" ca="1" si="60"/>
        <v/>
      </c>
      <c r="AZ116" s="2" t="str">
        <f t="shared" ca="1" si="60"/>
        <v/>
      </c>
      <c r="BA116" s="2" t="str">
        <f t="shared" ca="1" si="60"/>
        <v/>
      </c>
      <c r="BB116" s="2" t="str">
        <f t="shared" ca="1" si="60"/>
        <v/>
      </c>
      <c r="BC116" s="2" t="str">
        <f t="shared" ca="1" si="60"/>
        <v/>
      </c>
      <c r="BD116" s="2"/>
      <c r="BE116" s="2" t="str">
        <f t="shared" ca="1" si="60"/>
        <v/>
      </c>
      <c r="BF116" s="2" t="str">
        <f t="shared" ca="1" si="60"/>
        <v/>
      </c>
      <c r="BG116" s="2" t="str">
        <f t="shared" ca="1" si="60"/>
        <v/>
      </c>
      <c r="BH116" s="2" t="str">
        <f t="shared" ca="1" si="57"/>
        <v/>
      </c>
      <c r="BI116" s="2" t="str">
        <f t="shared" ca="1" si="57"/>
        <v/>
      </c>
      <c r="BJ116" s="2" t="str">
        <f t="shared" ca="1" si="57"/>
        <v/>
      </c>
      <c r="BK116" s="2" t="str">
        <f t="shared" ref="BK116:CA116" ca="1" si="61">VLOOKUP(BK$96,INDIRECT("'"&amp;$S116&amp;"'!$C$9:$P$79"),14,FALSE)</f>
        <v/>
      </c>
      <c r="BL116" s="2" t="str">
        <f>'Client 20'!$P$55</f>
        <v/>
      </c>
      <c r="BM116" s="2"/>
      <c r="BN116" s="2" t="str">
        <f t="shared" ca="1" si="61"/>
        <v/>
      </c>
      <c r="BO116" s="2" t="str">
        <f t="shared" ca="1" si="61"/>
        <v/>
      </c>
      <c r="BP116" s="2" t="str">
        <f t="shared" ca="1" si="61"/>
        <v/>
      </c>
      <c r="BQ116" s="2" t="str">
        <f t="shared" ca="1" si="61"/>
        <v/>
      </c>
      <c r="BR116" s="2" t="str">
        <f t="shared" ca="1" si="61"/>
        <v/>
      </c>
      <c r="BS116" s="2" t="str">
        <f>'Client 20'!$P$64</f>
        <v/>
      </c>
      <c r="BT116" s="2"/>
      <c r="BU116" s="2" t="str">
        <f t="shared" ca="1" si="61"/>
        <v/>
      </c>
      <c r="BV116" s="2" t="str">
        <f t="shared" ca="1" si="61"/>
        <v/>
      </c>
      <c r="BW116" s="2" t="str">
        <f t="shared" ca="1" si="61"/>
        <v/>
      </c>
      <c r="BX116" s="2" t="str">
        <f t="shared" ca="1" si="61"/>
        <v/>
      </c>
      <c r="BY116" s="2" t="str">
        <f t="shared" ca="1" si="61"/>
        <v/>
      </c>
      <c r="BZ116" s="2" t="str">
        <f t="shared" ca="1" si="61"/>
        <v/>
      </c>
      <c r="CA116" s="2" t="str">
        <f t="shared" ca="1" si="61"/>
        <v/>
      </c>
      <c r="CB116" s="2" t="str">
        <f>'Client 20'!$P$80</f>
        <v/>
      </c>
      <c r="CC116" s="2" t="str">
        <f>'Client 20'!P$81</f>
        <v/>
      </c>
      <c r="CD116" s="2" t="str">
        <f>'Client 20'!P$82</f>
        <v/>
      </c>
    </row>
    <row r="117" spans="1:82" x14ac:dyDescent="0.2">
      <c r="A117" s="68">
        <v>1</v>
      </c>
      <c r="B117" s="349">
        <f>'Client 1'!T34</f>
        <v>0</v>
      </c>
      <c r="C117" s="2">
        <f>'Client 1'!U34</f>
        <v>0</v>
      </c>
      <c r="D117" s="2">
        <f>'Client 1'!V34</f>
        <v>0</v>
      </c>
      <c r="E117" s="2">
        <f>'Client 1'!W34</f>
        <v>0</v>
      </c>
      <c r="F117" s="350">
        <f>'Client 1'!X34</f>
        <v>0</v>
      </c>
      <c r="G117" s="2">
        <f>'Client 1'!Y34</f>
        <v>0</v>
      </c>
      <c r="H117" s="2">
        <f>'Client 1'!Z34</f>
        <v>0</v>
      </c>
      <c r="I117" s="2">
        <f>'Client 1'!AA34</f>
        <v>0</v>
      </c>
      <c r="J117" s="2">
        <f>'Client 1'!AB34</f>
        <v>0</v>
      </c>
      <c r="K117" s="2">
        <f>'Client 1'!AC34</f>
        <v>0</v>
      </c>
      <c r="L117" s="2" cm="1">
        <f t="array" aca="1" ref="L117" ca="1">IF(B117=0,0,INDIRECT("MRN_"&amp;A117))</f>
        <v>0</v>
      </c>
      <c r="M117" s="2">
        <f t="shared" si="51"/>
        <v>0</v>
      </c>
      <c r="N117" s="2" t="str">
        <f t="shared" si="52"/>
        <v>No</v>
      </c>
      <c r="O117" s="2" t="str">
        <f t="shared" si="53"/>
        <v>No</v>
      </c>
      <c r="P117" s="2" t="str" cm="1">
        <f t="array" aca="1" ref="P117" ca="1">IF(OR(INDIRECT("MRN_"&amp;A117)="N/A",B117=0),"No","Yes")</f>
        <v>No</v>
      </c>
      <c r="U117">
        <f ca="1">COUNTIF(V97:AF116,"Pass")</f>
        <v>0</v>
      </c>
      <c r="V117">
        <f ca="1">COUNTIF(V96:V116,"Pass")</f>
        <v>0</v>
      </c>
      <c r="W117">
        <f ca="1">COUNTIF(W96:W116,"Pass")</f>
        <v>0</v>
      </c>
      <c r="X117">
        <f t="shared" ref="X117:CD117" ca="1" si="62">COUNTIF(X96:X116,"Pass")</f>
        <v>0</v>
      </c>
      <c r="Y117">
        <f t="shared" ca="1" si="62"/>
        <v>0</v>
      </c>
      <c r="Z117">
        <f t="shared" ca="1" si="62"/>
        <v>0</v>
      </c>
      <c r="AA117">
        <f t="shared" ca="1" si="62"/>
        <v>0</v>
      </c>
      <c r="AB117">
        <f t="shared" ca="1" si="62"/>
        <v>0</v>
      </c>
      <c r="AC117">
        <f t="shared" ca="1" si="62"/>
        <v>0</v>
      </c>
      <c r="AD117">
        <f t="shared" ca="1" si="62"/>
        <v>0</v>
      </c>
      <c r="AE117">
        <f t="shared" ref="AE117" ca="1" si="63">COUNTIF(AE96:AE116,"Pass")</f>
        <v>0</v>
      </c>
      <c r="AF117">
        <f t="shared" ca="1" si="62"/>
        <v>0</v>
      </c>
      <c r="AG117">
        <f ca="1">COUNTIF(AH97:AK116,"Pass")</f>
        <v>0</v>
      </c>
      <c r="AH117">
        <f t="shared" ca="1" si="62"/>
        <v>0</v>
      </c>
      <c r="AI117">
        <f t="shared" ca="1" si="62"/>
        <v>0</v>
      </c>
      <c r="AJ117">
        <f t="shared" ca="1" si="62"/>
        <v>0</v>
      </c>
      <c r="AK117">
        <f t="shared" ca="1" si="62"/>
        <v>0</v>
      </c>
      <c r="AL117">
        <f t="shared" ref="AL117:AP117" si="64">COUNTIF(AL96:AL116,"Pass")</f>
        <v>0</v>
      </c>
      <c r="AM117">
        <f t="shared" si="64"/>
        <v>0</v>
      </c>
      <c r="AN117">
        <f t="shared" si="64"/>
        <v>0</v>
      </c>
      <c r="AO117">
        <f t="shared" si="64"/>
        <v>0</v>
      </c>
      <c r="AP117">
        <f t="shared" si="64"/>
        <v>0</v>
      </c>
      <c r="AQ117">
        <f ca="1">COUNTIF(AR97:BC116,"Pass")</f>
        <v>0</v>
      </c>
      <c r="AR117">
        <f t="shared" ca="1" si="62"/>
        <v>0</v>
      </c>
      <c r="AS117">
        <f t="shared" ca="1" si="62"/>
        <v>0</v>
      </c>
      <c r="AT117">
        <f t="shared" ca="1" si="62"/>
        <v>0</v>
      </c>
      <c r="AU117">
        <f t="shared" ca="1" si="62"/>
        <v>0</v>
      </c>
      <c r="AV117">
        <f t="shared" ca="1" si="62"/>
        <v>0</v>
      </c>
      <c r="AW117">
        <f t="shared" ca="1" si="62"/>
        <v>0</v>
      </c>
      <c r="AX117">
        <f t="shared" ca="1" si="62"/>
        <v>0</v>
      </c>
      <c r="AY117">
        <f t="shared" ca="1" si="62"/>
        <v>0</v>
      </c>
      <c r="AZ117">
        <f t="shared" ca="1" si="62"/>
        <v>0</v>
      </c>
      <c r="BA117">
        <f t="shared" ca="1" si="62"/>
        <v>0</v>
      </c>
      <c r="BB117">
        <f t="shared" ref="BB117:BC117" ca="1" si="65">COUNTIF(BB96:BB116,"Pass")</f>
        <v>0</v>
      </c>
      <c r="BC117">
        <f t="shared" ca="1" si="65"/>
        <v>0</v>
      </c>
      <c r="BD117">
        <f ca="1">COUNTIF(BE97:BK116,"Pass")</f>
        <v>0</v>
      </c>
      <c r="BE117">
        <f t="shared" ca="1" si="62"/>
        <v>0</v>
      </c>
      <c r="BF117">
        <f t="shared" ca="1" si="62"/>
        <v>0</v>
      </c>
      <c r="BG117">
        <f t="shared" ca="1" si="62"/>
        <v>0</v>
      </c>
      <c r="BH117">
        <f t="shared" ca="1" si="62"/>
        <v>0</v>
      </c>
      <c r="BI117">
        <f t="shared" ca="1" si="62"/>
        <v>0</v>
      </c>
      <c r="BJ117">
        <f t="shared" ref="BJ117:BK117" ca="1" si="66">COUNTIF(BJ96:BJ116,"Pass")</f>
        <v>0</v>
      </c>
      <c r="BK117">
        <f t="shared" ca="1" si="66"/>
        <v>0</v>
      </c>
      <c r="BL117">
        <f t="shared" ref="BL117" si="67">COUNTIF(BL96:BL116,"Pass")</f>
        <v>0</v>
      </c>
      <c r="BM117">
        <f ca="1">COUNTIF(BN97:BR116,"Pass")</f>
        <v>0</v>
      </c>
      <c r="BN117">
        <f t="shared" ca="1" si="62"/>
        <v>0</v>
      </c>
      <c r="BO117">
        <f t="shared" ca="1" si="62"/>
        <v>0</v>
      </c>
      <c r="BP117">
        <f t="shared" ca="1" si="62"/>
        <v>0</v>
      </c>
      <c r="BQ117">
        <f t="shared" ca="1" si="62"/>
        <v>0</v>
      </c>
      <c r="BR117">
        <f t="shared" ca="1" si="62"/>
        <v>0</v>
      </c>
      <c r="BS117">
        <f t="shared" ref="BS117" si="68">COUNTIF(BS96:BS116,"Pass")</f>
        <v>0</v>
      </c>
      <c r="BT117">
        <f ca="1">COUNTIF(BU97:CD116,"Pass")</f>
        <v>0</v>
      </c>
      <c r="BU117">
        <f t="shared" ca="1" si="62"/>
        <v>0</v>
      </c>
      <c r="BV117">
        <f t="shared" ca="1" si="62"/>
        <v>0</v>
      </c>
      <c r="BW117">
        <f t="shared" ca="1" si="62"/>
        <v>0</v>
      </c>
      <c r="BX117">
        <f t="shared" ca="1" si="62"/>
        <v>0</v>
      </c>
      <c r="BY117">
        <f t="shared" ca="1" si="62"/>
        <v>0</v>
      </c>
      <c r="BZ117">
        <f t="shared" ca="1" si="62"/>
        <v>0</v>
      </c>
      <c r="CA117">
        <f t="shared" ca="1" si="62"/>
        <v>0</v>
      </c>
      <c r="CB117">
        <f t="shared" si="62"/>
        <v>0</v>
      </c>
      <c r="CC117">
        <f t="shared" si="62"/>
        <v>0</v>
      </c>
      <c r="CD117">
        <f t="shared" si="62"/>
        <v>0</v>
      </c>
    </row>
    <row r="118" spans="1:82" x14ac:dyDescent="0.2">
      <c r="A118" s="68">
        <v>1</v>
      </c>
      <c r="B118" s="349">
        <f>'Client 1'!T35</f>
        <v>0</v>
      </c>
      <c r="C118" s="2">
        <f>'Client 1'!U35</f>
        <v>0</v>
      </c>
      <c r="D118" s="2">
        <f>'Client 1'!V35</f>
        <v>0</v>
      </c>
      <c r="E118" s="2">
        <f>'Client 1'!W35</f>
        <v>0</v>
      </c>
      <c r="F118" s="350">
        <f>'Client 1'!X35</f>
        <v>0</v>
      </c>
      <c r="G118" s="2">
        <f>'Client 1'!Y35</f>
        <v>0</v>
      </c>
      <c r="H118" s="2">
        <f>'Client 1'!Z35</f>
        <v>0</v>
      </c>
      <c r="I118" s="2">
        <f>'Client 1'!AA35</f>
        <v>0</v>
      </c>
      <c r="J118" s="2">
        <f>'Client 1'!AB35</f>
        <v>0</v>
      </c>
      <c r="K118" s="2">
        <f>'Client 1'!AC35</f>
        <v>0</v>
      </c>
      <c r="L118" s="2" cm="1">
        <f t="array" aca="1" ref="L118" ca="1">IF(B118=0,0,INDIRECT("MRN_"&amp;A118))</f>
        <v>0</v>
      </c>
      <c r="M118" s="2">
        <f t="shared" si="51"/>
        <v>0</v>
      </c>
      <c r="N118" s="2" t="str">
        <f t="shared" si="52"/>
        <v>No</v>
      </c>
      <c r="O118" s="2" t="str">
        <f t="shared" si="53"/>
        <v>No</v>
      </c>
      <c r="P118" s="2" t="str" cm="1">
        <f t="array" aca="1" ref="P118" ca="1">IF(OR(INDIRECT("MRN_"&amp;A118)="N/A",B118=0),"No","Yes")</f>
        <v>No</v>
      </c>
      <c r="U118">
        <f ca="1">COUNTIF(V97:AF116,"Fail")</f>
        <v>0</v>
      </c>
      <c r="V118">
        <f ca="1">COUNTIF(V96:V116,"Fail")</f>
        <v>0</v>
      </c>
      <c r="W118">
        <f ca="1">COUNTIF(W96:W116,"Fail")</f>
        <v>0</v>
      </c>
      <c r="X118">
        <f t="shared" ref="X118:CD118" ca="1" si="69">COUNTIF(X96:X116,"Fail")</f>
        <v>0</v>
      </c>
      <c r="Y118">
        <f t="shared" ca="1" si="69"/>
        <v>0</v>
      </c>
      <c r="Z118">
        <f t="shared" ca="1" si="69"/>
        <v>0</v>
      </c>
      <c r="AA118">
        <f t="shared" ca="1" si="69"/>
        <v>0</v>
      </c>
      <c r="AB118">
        <f t="shared" ca="1" si="69"/>
        <v>0</v>
      </c>
      <c r="AC118">
        <f t="shared" ca="1" si="69"/>
        <v>0</v>
      </c>
      <c r="AD118">
        <f t="shared" ca="1" si="69"/>
        <v>0</v>
      </c>
      <c r="AE118">
        <f t="shared" ref="AE118" ca="1" si="70">COUNTIF(AE96:AE116,"Fail")</f>
        <v>0</v>
      </c>
      <c r="AF118">
        <f t="shared" ca="1" si="69"/>
        <v>0</v>
      </c>
      <c r="AG118">
        <f ca="1">COUNTIF(AH97:AK116,"Fail")</f>
        <v>0</v>
      </c>
      <c r="AH118">
        <f t="shared" ca="1" si="69"/>
        <v>0</v>
      </c>
      <c r="AI118">
        <f t="shared" ca="1" si="69"/>
        <v>0</v>
      </c>
      <c r="AJ118">
        <f t="shared" ca="1" si="69"/>
        <v>0</v>
      </c>
      <c r="AK118">
        <f t="shared" ca="1" si="69"/>
        <v>0</v>
      </c>
      <c r="AL118">
        <f t="shared" ref="AL118:AP118" si="71">COUNTIF(AL96:AL116,"Fail")</f>
        <v>0</v>
      </c>
      <c r="AM118">
        <f t="shared" si="71"/>
        <v>0</v>
      </c>
      <c r="AN118">
        <f t="shared" si="71"/>
        <v>0</v>
      </c>
      <c r="AO118">
        <f t="shared" si="71"/>
        <v>0</v>
      </c>
      <c r="AP118">
        <f t="shared" si="71"/>
        <v>0</v>
      </c>
      <c r="AQ118">
        <f ca="1">COUNTIF(AR97:BC116,"Fail")</f>
        <v>0</v>
      </c>
      <c r="AR118">
        <f t="shared" ca="1" si="69"/>
        <v>0</v>
      </c>
      <c r="AS118">
        <f t="shared" ca="1" si="69"/>
        <v>0</v>
      </c>
      <c r="AT118">
        <f t="shared" ca="1" si="69"/>
        <v>0</v>
      </c>
      <c r="AU118">
        <f t="shared" ca="1" si="69"/>
        <v>0</v>
      </c>
      <c r="AV118">
        <f t="shared" ca="1" si="69"/>
        <v>0</v>
      </c>
      <c r="AW118">
        <f t="shared" ca="1" si="69"/>
        <v>0</v>
      </c>
      <c r="AX118">
        <f t="shared" ca="1" si="69"/>
        <v>0</v>
      </c>
      <c r="AY118">
        <f t="shared" ca="1" si="69"/>
        <v>0</v>
      </c>
      <c r="AZ118">
        <f t="shared" ca="1" si="69"/>
        <v>0</v>
      </c>
      <c r="BA118">
        <f t="shared" ca="1" si="69"/>
        <v>0</v>
      </c>
      <c r="BB118">
        <f t="shared" ref="BB118:BC118" ca="1" si="72">COUNTIF(BB96:BB116,"Fail")</f>
        <v>0</v>
      </c>
      <c r="BC118">
        <f t="shared" ca="1" si="72"/>
        <v>0</v>
      </c>
      <c r="BD118">
        <f ca="1">COUNTIF(BE97:BK116,"Fail")</f>
        <v>0</v>
      </c>
      <c r="BE118">
        <f t="shared" ca="1" si="69"/>
        <v>0</v>
      </c>
      <c r="BF118">
        <f t="shared" ca="1" si="69"/>
        <v>0</v>
      </c>
      <c r="BG118">
        <f t="shared" ca="1" si="69"/>
        <v>0</v>
      </c>
      <c r="BH118">
        <f t="shared" ca="1" si="69"/>
        <v>0</v>
      </c>
      <c r="BI118">
        <f t="shared" ca="1" si="69"/>
        <v>0</v>
      </c>
      <c r="BJ118">
        <f t="shared" ref="BJ118:BK118" ca="1" si="73">COUNTIF(BJ96:BJ116,"Fail")</f>
        <v>0</v>
      </c>
      <c r="BK118">
        <f t="shared" ca="1" si="73"/>
        <v>0</v>
      </c>
      <c r="BL118">
        <f t="shared" ref="BL118" si="74">COUNTIF(BL96:BL116,"Fail")</f>
        <v>0</v>
      </c>
      <c r="BM118">
        <f ca="1">COUNTIF(BN97:BR116,"Fail")</f>
        <v>0</v>
      </c>
      <c r="BN118">
        <f t="shared" ca="1" si="69"/>
        <v>0</v>
      </c>
      <c r="BO118">
        <f t="shared" ca="1" si="69"/>
        <v>0</v>
      </c>
      <c r="BP118">
        <f t="shared" ca="1" si="69"/>
        <v>0</v>
      </c>
      <c r="BQ118">
        <f t="shared" ca="1" si="69"/>
        <v>0</v>
      </c>
      <c r="BR118">
        <f t="shared" ca="1" si="69"/>
        <v>0</v>
      </c>
      <c r="BS118">
        <f t="shared" ref="BS118" si="75">COUNTIF(BS96:BS116,"Fail")</f>
        <v>0</v>
      </c>
      <c r="BT118">
        <f ca="1">COUNTIF(BU97:CD116,"Fail")</f>
        <v>0</v>
      </c>
      <c r="BU118">
        <f t="shared" ca="1" si="69"/>
        <v>0</v>
      </c>
      <c r="BV118">
        <f t="shared" ca="1" si="69"/>
        <v>0</v>
      </c>
      <c r="BW118">
        <f t="shared" ca="1" si="69"/>
        <v>0</v>
      </c>
      <c r="BX118">
        <f t="shared" ca="1" si="69"/>
        <v>0</v>
      </c>
      <c r="BY118">
        <f t="shared" ca="1" si="69"/>
        <v>0</v>
      </c>
      <c r="BZ118">
        <f t="shared" ca="1" si="69"/>
        <v>0</v>
      </c>
      <c r="CA118">
        <f t="shared" ca="1" si="69"/>
        <v>0</v>
      </c>
      <c r="CB118">
        <f t="shared" si="69"/>
        <v>0</v>
      </c>
      <c r="CC118">
        <f t="shared" si="69"/>
        <v>0</v>
      </c>
      <c r="CD118">
        <f t="shared" si="69"/>
        <v>0</v>
      </c>
    </row>
    <row r="119" spans="1:82" x14ac:dyDescent="0.2">
      <c r="A119" s="68">
        <v>1</v>
      </c>
      <c r="B119" s="349">
        <f>'Client 1'!T36</f>
        <v>0</v>
      </c>
      <c r="C119" s="2">
        <f>'Client 1'!U36</f>
        <v>0</v>
      </c>
      <c r="D119" s="2">
        <f>'Client 1'!V36</f>
        <v>0</v>
      </c>
      <c r="E119" s="2">
        <f>'Client 1'!W36</f>
        <v>0</v>
      </c>
      <c r="F119" s="350">
        <f>'Client 1'!X36</f>
        <v>0</v>
      </c>
      <c r="G119" s="2">
        <f>'Client 1'!Y36</f>
        <v>0</v>
      </c>
      <c r="H119" s="2">
        <f>'Client 1'!Z36</f>
        <v>0</v>
      </c>
      <c r="I119" s="2">
        <f>'Client 1'!AA36</f>
        <v>0</v>
      </c>
      <c r="J119" s="2">
        <f>'Client 1'!AB36</f>
        <v>0</v>
      </c>
      <c r="K119" s="2">
        <f>'Client 1'!AC36</f>
        <v>0</v>
      </c>
      <c r="L119" s="2" cm="1">
        <f t="array" aca="1" ref="L119" ca="1">IF(B119=0,0,INDIRECT("MRN_"&amp;A119))</f>
        <v>0</v>
      </c>
      <c r="M119" s="2">
        <f t="shared" si="51"/>
        <v>0</v>
      </c>
      <c r="N119" s="2" t="str">
        <f t="shared" si="52"/>
        <v>No</v>
      </c>
      <c r="O119" s="2" t="str">
        <f t="shared" si="53"/>
        <v>No</v>
      </c>
      <c r="P119" s="2" t="str" cm="1">
        <f t="array" aca="1" ref="P119" ca="1">IF(OR(INDIRECT("MRN_"&amp;A119)="N/A",B119=0),"No","Yes")</f>
        <v>No</v>
      </c>
      <c r="U119">
        <f ca="1">SUM(U117:U118)</f>
        <v>0</v>
      </c>
      <c r="AG119">
        <f ca="1">SUM(AG117:AG118)</f>
        <v>0</v>
      </c>
      <c r="AL119">
        <f>SUM(AL117:AL118)</f>
        <v>0</v>
      </c>
      <c r="AQ119">
        <f ca="1">SUM(AQ117:AQ118)</f>
        <v>0</v>
      </c>
      <c r="BD119">
        <f ca="1">SUM(BD117:BD118)</f>
        <v>0</v>
      </c>
      <c r="BM119">
        <f ca="1">SUM(BM117:BM118)</f>
        <v>0</v>
      </c>
      <c r="BT119">
        <f ca="1">SUM(BT117:BT118)</f>
        <v>0</v>
      </c>
    </row>
    <row r="120" spans="1:82" x14ac:dyDescent="0.2">
      <c r="A120" s="68">
        <v>1</v>
      </c>
      <c r="B120" s="349">
        <f>'Client 1'!T37</f>
        <v>0</v>
      </c>
      <c r="C120" s="2">
        <f>'Client 1'!U37</f>
        <v>0</v>
      </c>
      <c r="D120" s="2">
        <f>'Client 1'!V37</f>
        <v>0</v>
      </c>
      <c r="E120" s="2">
        <f>'Client 1'!W37</f>
        <v>0</v>
      </c>
      <c r="F120" s="350">
        <f>'Client 1'!X37</f>
        <v>0</v>
      </c>
      <c r="G120" s="2">
        <f>'Client 1'!Y37</f>
        <v>0</v>
      </c>
      <c r="H120" s="2">
        <f>'Client 1'!Z37</f>
        <v>0</v>
      </c>
      <c r="I120" s="2">
        <f>'Client 1'!AA37</f>
        <v>0</v>
      </c>
      <c r="J120" s="2">
        <f>'Client 1'!AB37</f>
        <v>0</v>
      </c>
      <c r="K120" s="2">
        <f>'Client 1'!AC37</f>
        <v>0</v>
      </c>
      <c r="L120" s="2" cm="1">
        <f t="array" aca="1" ref="L120" ca="1">IF(B120=0,0,INDIRECT("MRN_"&amp;A120))</f>
        <v>0</v>
      </c>
      <c r="M120" s="2">
        <f t="shared" si="51"/>
        <v>0</v>
      </c>
      <c r="N120" s="2" t="str">
        <f t="shared" si="52"/>
        <v>No</v>
      </c>
      <c r="O120" s="2" t="str">
        <f t="shared" si="53"/>
        <v>No</v>
      </c>
      <c r="P120" s="2" t="str" cm="1">
        <f t="array" aca="1" ref="P120" ca="1">IF(OR(INDIRECT("MRN_"&amp;A120)="N/A",B120=0),"No","Yes")</f>
        <v>No</v>
      </c>
      <c r="U120" s="26">
        <f t="shared" ref="U120:AZ120" ca="1" si="76">IFERROR(U117/(U117+U118),0)</f>
        <v>0</v>
      </c>
      <c r="V120" s="26">
        <f t="shared" ca="1" si="76"/>
        <v>0</v>
      </c>
      <c r="W120" s="26">
        <f t="shared" ca="1" si="76"/>
        <v>0</v>
      </c>
      <c r="X120" s="26">
        <f t="shared" ca="1" si="76"/>
        <v>0</v>
      </c>
      <c r="Y120" s="26">
        <f t="shared" ca="1" si="76"/>
        <v>0</v>
      </c>
      <c r="Z120" s="26">
        <f t="shared" ca="1" si="76"/>
        <v>0</v>
      </c>
      <c r="AA120" s="26">
        <f t="shared" ca="1" si="76"/>
        <v>0</v>
      </c>
      <c r="AB120" s="26">
        <f t="shared" ca="1" si="76"/>
        <v>0</v>
      </c>
      <c r="AC120" s="26">
        <f t="shared" ca="1" si="76"/>
        <v>0</v>
      </c>
      <c r="AD120" s="26">
        <f t="shared" ca="1" si="76"/>
        <v>0</v>
      </c>
      <c r="AE120" s="26">
        <f t="shared" ca="1" si="76"/>
        <v>0</v>
      </c>
      <c r="AF120" s="26">
        <f t="shared" ca="1" si="76"/>
        <v>0</v>
      </c>
      <c r="AG120" s="26">
        <f t="shared" ca="1" si="76"/>
        <v>0</v>
      </c>
      <c r="AH120" s="26">
        <f t="shared" ca="1" si="76"/>
        <v>0</v>
      </c>
      <c r="AI120" s="26">
        <f t="shared" ca="1" si="76"/>
        <v>0</v>
      </c>
      <c r="AJ120" s="26">
        <f t="shared" ca="1" si="76"/>
        <v>0</v>
      </c>
      <c r="AK120" s="26">
        <f t="shared" ca="1" si="76"/>
        <v>0</v>
      </c>
      <c r="AL120" s="26">
        <f t="shared" si="76"/>
        <v>0</v>
      </c>
      <c r="AM120" s="26">
        <f t="shared" si="76"/>
        <v>0</v>
      </c>
      <c r="AN120" s="26">
        <f t="shared" si="76"/>
        <v>0</v>
      </c>
      <c r="AO120" s="26">
        <f t="shared" si="76"/>
        <v>0</v>
      </c>
      <c r="AP120" s="26">
        <f t="shared" si="76"/>
        <v>0</v>
      </c>
      <c r="AQ120" s="26">
        <f t="shared" ca="1" si="76"/>
        <v>0</v>
      </c>
      <c r="AR120" s="26">
        <f t="shared" ca="1" si="76"/>
        <v>0</v>
      </c>
      <c r="AS120" s="26">
        <f t="shared" ca="1" si="76"/>
        <v>0</v>
      </c>
      <c r="AT120" s="26">
        <f t="shared" ca="1" si="76"/>
        <v>0</v>
      </c>
      <c r="AU120" s="26">
        <f t="shared" ca="1" si="76"/>
        <v>0</v>
      </c>
      <c r="AV120" s="26">
        <f t="shared" ca="1" si="76"/>
        <v>0</v>
      </c>
      <c r="AW120" s="26">
        <f t="shared" ca="1" si="76"/>
        <v>0</v>
      </c>
      <c r="AX120" s="26">
        <f t="shared" ca="1" si="76"/>
        <v>0</v>
      </c>
      <c r="AY120" s="26">
        <f t="shared" ca="1" si="76"/>
        <v>0</v>
      </c>
      <c r="AZ120" s="26">
        <f t="shared" ca="1" si="76"/>
        <v>0</v>
      </c>
      <c r="BA120" s="26">
        <f t="shared" ref="BA120:CD120" ca="1" si="77">IFERROR(BA117/(BA117+BA118),0)</f>
        <v>0</v>
      </c>
      <c r="BB120" s="26">
        <f t="shared" ca="1" si="77"/>
        <v>0</v>
      </c>
      <c r="BC120" s="26">
        <f t="shared" ca="1" si="77"/>
        <v>0</v>
      </c>
      <c r="BD120" s="26">
        <f t="shared" ca="1" si="77"/>
        <v>0</v>
      </c>
      <c r="BE120" s="26">
        <f t="shared" ca="1" si="77"/>
        <v>0</v>
      </c>
      <c r="BF120" s="26">
        <f t="shared" ca="1" si="77"/>
        <v>0</v>
      </c>
      <c r="BG120" s="26">
        <f t="shared" ca="1" si="77"/>
        <v>0</v>
      </c>
      <c r="BH120" s="26">
        <f t="shared" ca="1" si="77"/>
        <v>0</v>
      </c>
      <c r="BI120" s="26">
        <f t="shared" ca="1" si="77"/>
        <v>0</v>
      </c>
      <c r="BJ120" s="26">
        <f t="shared" ca="1" si="77"/>
        <v>0</v>
      </c>
      <c r="BK120" s="26">
        <f t="shared" ca="1" si="77"/>
        <v>0</v>
      </c>
      <c r="BL120" s="26">
        <f t="shared" si="77"/>
        <v>0</v>
      </c>
      <c r="BM120" s="26">
        <f t="shared" ca="1" si="77"/>
        <v>0</v>
      </c>
      <c r="BN120" s="26">
        <f t="shared" ca="1" si="77"/>
        <v>0</v>
      </c>
      <c r="BO120" s="26">
        <f t="shared" ca="1" si="77"/>
        <v>0</v>
      </c>
      <c r="BP120" s="26">
        <f t="shared" ca="1" si="77"/>
        <v>0</v>
      </c>
      <c r="BQ120" s="26">
        <f t="shared" ca="1" si="77"/>
        <v>0</v>
      </c>
      <c r="BR120" s="26">
        <f t="shared" ca="1" si="77"/>
        <v>0</v>
      </c>
      <c r="BS120" s="26">
        <f t="shared" si="77"/>
        <v>0</v>
      </c>
      <c r="BT120" s="26">
        <f t="shared" ca="1" si="77"/>
        <v>0</v>
      </c>
      <c r="BU120" s="26">
        <f t="shared" ca="1" si="77"/>
        <v>0</v>
      </c>
      <c r="BV120" s="26">
        <f t="shared" ca="1" si="77"/>
        <v>0</v>
      </c>
      <c r="BW120" s="26">
        <f t="shared" ca="1" si="77"/>
        <v>0</v>
      </c>
      <c r="BX120" s="26">
        <f t="shared" ca="1" si="77"/>
        <v>0</v>
      </c>
      <c r="BY120" s="26">
        <f t="shared" ca="1" si="77"/>
        <v>0</v>
      </c>
      <c r="BZ120" s="26">
        <f t="shared" ca="1" si="77"/>
        <v>0</v>
      </c>
      <c r="CA120" s="26">
        <f t="shared" ca="1" si="77"/>
        <v>0</v>
      </c>
      <c r="CB120" s="26">
        <f t="shared" si="77"/>
        <v>0</v>
      </c>
      <c r="CC120" s="26">
        <f t="shared" si="77"/>
        <v>0</v>
      </c>
      <c r="CD120" s="26">
        <f t="shared" si="77"/>
        <v>0</v>
      </c>
    </row>
    <row r="121" spans="1:82" x14ac:dyDescent="0.2">
      <c r="A121" s="68">
        <v>2</v>
      </c>
      <c r="B121" s="349">
        <f>'Client 2'!T9</f>
        <v>0</v>
      </c>
      <c r="C121" s="2">
        <f>'Client 2'!U9</f>
        <v>0</v>
      </c>
      <c r="D121" s="2">
        <f>'Client 2'!V9</f>
        <v>0</v>
      </c>
      <c r="E121" s="2">
        <f>'Client 2'!W9</f>
        <v>0</v>
      </c>
      <c r="F121" s="350">
        <f>'Client 2'!X9</f>
        <v>0</v>
      </c>
      <c r="G121" s="2">
        <f>'Client 2'!Y9</f>
        <v>0</v>
      </c>
      <c r="H121" s="2">
        <f>'Client 2'!Z9</f>
        <v>0</v>
      </c>
      <c r="I121" s="2">
        <f>'Client 2'!AA9</f>
        <v>0</v>
      </c>
      <c r="J121" s="2">
        <f>'Client 2'!AB9</f>
        <v>0</v>
      </c>
      <c r="K121" s="2">
        <f>'Client 2'!AC9</f>
        <v>0</v>
      </c>
      <c r="L121" s="2" cm="1">
        <f t="array" aca="1" ref="L121" ca="1">IF(B121=0,0,INDIRECT("MRN_"&amp;A121))</f>
        <v>0</v>
      </c>
      <c r="M121" s="2">
        <f t="shared" si="51"/>
        <v>0</v>
      </c>
      <c r="N121" s="2" t="str">
        <f t="shared" si="52"/>
        <v>No</v>
      </c>
      <c r="O121" s="2" t="str">
        <f t="shared" si="53"/>
        <v>No</v>
      </c>
      <c r="P121" s="2" t="str" cm="1">
        <f t="array" aca="1" ref="P121" ca="1">IF(OR(INDIRECT("MRN_"&amp;A121)="N/A",B121=0),"No","Yes")</f>
        <v>No</v>
      </c>
    </row>
    <row r="122" spans="1:82" x14ac:dyDescent="0.2">
      <c r="A122" s="68">
        <v>2</v>
      </c>
      <c r="B122" s="349">
        <f>'Client 2'!T10</f>
        <v>0</v>
      </c>
      <c r="C122" s="2">
        <f>'Client 2'!U10</f>
        <v>0</v>
      </c>
      <c r="D122" s="2">
        <f>'Client 2'!V10</f>
        <v>0</v>
      </c>
      <c r="E122" s="2">
        <f>'Client 2'!W10</f>
        <v>0</v>
      </c>
      <c r="F122" s="350">
        <f>'Client 2'!X10</f>
        <v>0</v>
      </c>
      <c r="G122" s="2">
        <f>'Client 2'!Y10</f>
        <v>0</v>
      </c>
      <c r="H122" s="2">
        <f>'Client 2'!Z10</f>
        <v>0</v>
      </c>
      <c r="I122" s="2">
        <f>'Client 2'!AA10</f>
        <v>0</v>
      </c>
      <c r="J122" s="2">
        <f>'Client 2'!AB10</f>
        <v>0</v>
      </c>
      <c r="K122" s="2">
        <f>'Client 2'!AC10</f>
        <v>0</v>
      </c>
      <c r="L122" s="2" cm="1">
        <f t="array" aca="1" ref="L122" ca="1">IF(B122=0,0,INDIRECT("MRN_"&amp;A122))</f>
        <v>0</v>
      </c>
      <c r="M122" s="2">
        <f t="shared" si="51"/>
        <v>0</v>
      </c>
      <c r="N122" s="2" t="str">
        <f t="shared" si="52"/>
        <v>No</v>
      </c>
      <c r="O122" s="2" t="str">
        <f t="shared" si="53"/>
        <v>No</v>
      </c>
      <c r="P122" s="2" t="str" cm="1">
        <f t="array" aca="1" ref="P122" ca="1">IF(OR(INDIRECT("MRN_"&amp;A122)="N/A",B122=0),"No","Yes")</f>
        <v>No</v>
      </c>
      <c r="T122" s="6" t="s">
        <v>592</v>
      </c>
      <c r="U122" s="6" t="s">
        <v>488</v>
      </c>
      <c r="V122" s="6" t="s">
        <v>666</v>
      </c>
      <c r="W122" s="6" t="s">
        <v>667</v>
      </c>
      <c r="X122" s="6" t="s">
        <v>490</v>
      </c>
      <c r="Y122" s="6" t="s">
        <v>491</v>
      </c>
      <c r="Z122" s="6" t="s">
        <v>496</v>
      </c>
      <c r="AA122" s="6" t="s">
        <v>137</v>
      </c>
    </row>
    <row r="123" spans="1:82" x14ac:dyDescent="0.2">
      <c r="A123" s="68">
        <v>2</v>
      </c>
      <c r="B123" s="349">
        <f>'Client 2'!T11</f>
        <v>0</v>
      </c>
      <c r="C123" s="2">
        <f>'Client 2'!U11</f>
        <v>0</v>
      </c>
      <c r="D123" s="2">
        <f>'Client 2'!V11</f>
        <v>0</v>
      </c>
      <c r="E123" s="2">
        <f>'Client 2'!W11</f>
        <v>0</v>
      </c>
      <c r="F123" s="350">
        <f>'Client 2'!X11</f>
        <v>0</v>
      </c>
      <c r="G123" s="2">
        <f>'Client 2'!Y11</f>
        <v>0</v>
      </c>
      <c r="H123" s="2">
        <f>'Client 2'!Z11</f>
        <v>0</v>
      </c>
      <c r="I123" s="2">
        <f>'Client 2'!AA11</f>
        <v>0</v>
      </c>
      <c r="J123" s="2">
        <f>'Client 2'!AB11</f>
        <v>0</v>
      </c>
      <c r="K123" s="2">
        <f>'Client 2'!AC11</f>
        <v>0</v>
      </c>
      <c r="L123" s="2" cm="1">
        <f t="array" aca="1" ref="L123" ca="1">IF(B123=0,0,INDIRECT("MRN_"&amp;A123))</f>
        <v>0</v>
      </c>
      <c r="M123" s="2">
        <f t="shared" si="51"/>
        <v>0</v>
      </c>
      <c r="N123" s="2" t="str">
        <f t="shared" si="52"/>
        <v>No</v>
      </c>
      <c r="O123" s="2" t="str">
        <f t="shared" si="53"/>
        <v>No</v>
      </c>
      <c r="P123" s="2" t="str" cm="1">
        <f t="array" aca="1" ref="P123" ca="1">IF(OR(INDIRECT("MRN_"&amp;A123)="N/A",B123=0),"No","Yes")</f>
        <v>No</v>
      </c>
      <c r="T123" s="410" t="e">
        <f>'Provider Compliance'!W7</f>
        <v>#DIV/0!</v>
      </c>
      <c r="U123" s="305">
        <f ca="1">U120</f>
        <v>0</v>
      </c>
      <c r="V123" s="305">
        <f ca="1">AG120</f>
        <v>0</v>
      </c>
      <c r="W123" s="305">
        <f>AL120</f>
        <v>0</v>
      </c>
      <c r="X123" s="305">
        <f ca="1">AQ120</f>
        <v>0</v>
      </c>
      <c r="Y123" s="305">
        <f ca="1">BD120</f>
        <v>0</v>
      </c>
      <c r="Z123" s="305">
        <f ca="1">BM120</f>
        <v>0</v>
      </c>
      <c r="AA123" s="305">
        <f ca="1">BT120</f>
        <v>0</v>
      </c>
    </row>
    <row r="124" spans="1:82" x14ac:dyDescent="0.2">
      <c r="A124" s="68">
        <v>2</v>
      </c>
      <c r="B124" s="349">
        <f>'Client 2'!T12</f>
        <v>0</v>
      </c>
      <c r="C124" s="2">
        <f>'Client 2'!U12</f>
        <v>0</v>
      </c>
      <c r="D124" s="2">
        <f>'Client 2'!V12</f>
        <v>0</v>
      </c>
      <c r="E124" s="2">
        <f>'Client 2'!W12</f>
        <v>0</v>
      </c>
      <c r="F124" s="350">
        <f>'Client 2'!X12</f>
        <v>0</v>
      </c>
      <c r="G124" s="2">
        <f>'Client 2'!Y12</f>
        <v>0</v>
      </c>
      <c r="H124" s="2">
        <f>'Client 2'!Z12</f>
        <v>0</v>
      </c>
      <c r="I124" s="2">
        <f>'Client 2'!AA12</f>
        <v>0</v>
      </c>
      <c r="J124" s="2">
        <f>'Client 2'!AB12</f>
        <v>0</v>
      </c>
      <c r="K124" s="2">
        <f>'Client 2'!AC12</f>
        <v>0</v>
      </c>
      <c r="L124" s="2" cm="1">
        <f t="array" aca="1" ref="L124" ca="1">IF(B124=0,0,INDIRECT("MRN_"&amp;A124))</f>
        <v>0</v>
      </c>
      <c r="M124" s="2">
        <f t="shared" si="51"/>
        <v>0</v>
      </c>
      <c r="N124" s="2" t="str">
        <f t="shared" si="52"/>
        <v>No</v>
      </c>
      <c r="O124" s="2" t="str">
        <f t="shared" si="53"/>
        <v>No</v>
      </c>
      <c r="P124" s="2" t="str" cm="1">
        <f t="array" aca="1" ref="P124" ca="1">IF(OR(INDIRECT("MRN_"&amp;A124)="N/A",B124=0),"No","Yes")</f>
        <v>No</v>
      </c>
    </row>
    <row r="125" spans="1:82" x14ac:dyDescent="0.2">
      <c r="A125" s="68">
        <v>2</v>
      </c>
      <c r="B125" s="349">
        <f>'Client 2'!T13</f>
        <v>0</v>
      </c>
      <c r="C125" s="2">
        <f>'Client 2'!U13</f>
        <v>0</v>
      </c>
      <c r="D125" s="2">
        <f>'Client 2'!V13</f>
        <v>0</v>
      </c>
      <c r="E125" s="2">
        <f>'Client 2'!W13</f>
        <v>0</v>
      </c>
      <c r="F125" s="350">
        <f>'Client 2'!X13</f>
        <v>0</v>
      </c>
      <c r="G125" s="2">
        <f>'Client 2'!Y13</f>
        <v>0</v>
      </c>
      <c r="H125" s="2">
        <f>'Client 2'!Z13</f>
        <v>0</v>
      </c>
      <c r="I125" s="2">
        <f>'Client 2'!AA13</f>
        <v>0</v>
      </c>
      <c r="J125" s="2">
        <f>'Client 2'!AB13</f>
        <v>0</v>
      </c>
      <c r="K125" s="2">
        <f>'Client 2'!AC13</f>
        <v>0</v>
      </c>
      <c r="L125" s="2" cm="1">
        <f t="array" aca="1" ref="L125" ca="1">IF(B125=0,0,INDIRECT("MRN_"&amp;A125))</f>
        <v>0</v>
      </c>
      <c r="M125" s="2">
        <f t="shared" si="51"/>
        <v>0</v>
      </c>
      <c r="N125" s="2" t="str">
        <f t="shared" si="52"/>
        <v>No</v>
      </c>
      <c r="O125" s="2" t="str">
        <f t="shared" si="53"/>
        <v>No</v>
      </c>
      <c r="P125" s="2" t="str" cm="1">
        <f t="array" aca="1" ref="P125" ca="1">IF(OR(INDIRECT("MRN_"&amp;A125)="N/A",B125=0),"No","Yes")</f>
        <v>No</v>
      </c>
    </row>
    <row r="126" spans="1:82" x14ac:dyDescent="0.2">
      <c r="A126" s="68">
        <v>2</v>
      </c>
      <c r="B126" s="349">
        <f>'Client 2'!T14</f>
        <v>0</v>
      </c>
      <c r="C126" s="2">
        <f>'Client 2'!U14</f>
        <v>0</v>
      </c>
      <c r="D126" s="2">
        <f>'Client 2'!V14</f>
        <v>0</v>
      </c>
      <c r="E126" s="2">
        <f>'Client 2'!W14</f>
        <v>0</v>
      </c>
      <c r="F126" s="350">
        <f>'Client 2'!X14</f>
        <v>0</v>
      </c>
      <c r="G126" s="2">
        <f>'Client 2'!Y14</f>
        <v>0</v>
      </c>
      <c r="H126" s="2">
        <f>'Client 2'!Z14</f>
        <v>0</v>
      </c>
      <c r="I126" s="2">
        <f>'Client 2'!AA14</f>
        <v>0</v>
      </c>
      <c r="J126" s="2">
        <f>'Client 2'!AB14</f>
        <v>0</v>
      </c>
      <c r="K126" s="2">
        <f>'Client 2'!AC14</f>
        <v>0</v>
      </c>
      <c r="L126" s="2" cm="1">
        <f t="array" aca="1" ref="L126" ca="1">IF(B126=0,0,INDIRECT("MRN_"&amp;A126))</f>
        <v>0</v>
      </c>
      <c r="M126" s="2">
        <f t="shared" si="51"/>
        <v>0</v>
      </c>
      <c r="N126" s="2" t="str">
        <f t="shared" si="52"/>
        <v>No</v>
      </c>
      <c r="O126" s="2" t="str">
        <f t="shared" si="53"/>
        <v>No</v>
      </c>
      <c r="P126" s="2" t="str" cm="1">
        <f t="array" aca="1" ref="P126" ca="1">IF(OR(INDIRECT("MRN_"&amp;A126)="N/A",B126=0),"No","Yes")</f>
        <v>No</v>
      </c>
    </row>
    <row r="127" spans="1:82" x14ac:dyDescent="0.2">
      <c r="A127" s="68">
        <v>2</v>
      </c>
      <c r="B127" s="349">
        <f>'Client 2'!T15</f>
        <v>0</v>
      </c>
      <c r="C127" s="2">
        <f>'Client 2'!U15</f>
        <v>0</v>
      </c>
      <c r="D127" s="2">
        <f>'Client 2'!V15</f>
        <v>0</v>
      </c>
      <c r="E127" s="2">
        <f>'Client 2'!W15</f>
        <v>0</v>
      </c>
      <c r="F127" s="350">
        <f>'Client 2'!X15</f>
        <v>0</v>
      </c>
      <c r="G127" s="2">
        <f>'Client 2'!Y15</f>
        <v>0</v>
      </c>
      <c r="H127" s="2">
        <f>'Client 2'!Z15</f>
        <v>0</v>
      </c>
      <c r="I127" s="2">
        <f>'Client 2'!AA15</f>
        <v>0</v>
      </c>
      <c r="J127" s="2">
        <f>'Client 2'!AB15</f>
        <v>0</v>
      </c>
      <c r="K127" s="2">
        <f>'Client 2'!AC15</f>
        <v>0</v>
      </c>
      <c r="L127" s="2" cm="1">
        <f t="array" aca="1" ref="L127" ca="1">IF(B127=0,0,INDIRECT("MRN_"&amp;A127))</f>
        <v>0</v>
      </c>
      <c r="M127" s="2">
        <f t="shared" si="51"/>
        <v>0</v>
      </c>
      <c r="N127" s="2" t="str">
        <f t="shared" si="52"/>
        <v>No</v>
      </c>
      <c r="O127" s="2" t="str">
        <f t="shared" si="53"/>
        <v>No</v>
      </c>
      <c r="P127" s="2" t="str" cm="1">
        <f t="array" aca="1" ref="P127" ca="1">IF(OR(INDIRECT("MRN_"&amp;A127)="N/A",B127=0),"No","Yes")</f>
        <v>No</v>
      </c>
    </row>
    <row r="128" spans="1:82" x14ac:dyDescent="0.2">
      <c r="A128" s="68">
        <v>2</v>
      </c>
      <c r="B128" s="349">
        <f>'Client 2'!T16</f>
        <v>0</v>
      </c>
      <c r="C128" s="2">
        <f>'Client 2'!U16</f>
        <v>0</v>
      </c>
      <c r="D128" s="2">
        <f>'Client 2'!V16</f>
        <v>0</v>
      </c>
      <c r="E128" s="2">
        <f>'Client 2'!W16</f>
        <v>0</v>
      </c>
      <c r="F128" s="350">
        <f>'Client 2'!X16</f>
        <v>0</v>
      </c>
      <c r="G128" s="2">
        <f>'Client 2'!Y16</f>
        <v>0</v>
      </c>
      <c r="H128" s="2">
        <f>'Client 2'!Z16</f>
        <v>0</v>
      </c>
      <c r="I128" s="2">
        <f>'Client 2'!AA16</f>
        <v>0</v>
      </c>
      <c r="J128" s="2">
        <f>'Client 2'!AB16</f>
        <v>0</v>
      </c>
      <c r="K128" s="2">
        <f>'Client 2'!AC16</f>
        <v>0</v>
      </c>
      <c r="L128" s="2" cm="1">
        <f t="array" aca="1" ref="L128" ca="1">IF(B128=0,0,INDIRECT("MRN_"&amp;A128))</f>
        <v>0</v>
      </c>
      <c r="M128" s="2">
        <f t="shared" si="51"/>
        <v>0</v>
      </c>
      <c r="N128" s="2" t="str">
        <f t="shared" si="52"/>
        <v>No</v>
      </c>
      <c r="O128" s="2" t="str">
        <f t="shared" si="53"/>
        <v>No</v>
      </c>
      <c r="P128" s="2" t="str" cm="1">
        <f t="array" aca="1" ref="P128" ca="1">IF(OR(INDIRECT("MRN_"&amp;A128)="N/A",B128=0),"No","Yes")</f>
        <v>No</v>
      </c>
    </row>
    <row r="129" spans="1:16" x14ac:dyDescent="0.2">
      <c r="A129" s="68">
        <v>2</v>
      </c>
      <c r="B129" s="349">
        <f>'Client 2'!T17</f>
        <v>0</v>
      </c>
      <c r="C129" s="2">
        <f>'Client 2'!U17</f>
        <v>0</v>
      </c>
      <c r="D129" s="2">
        <f>'Client 2'!V17</f>
        <v>0</v>
      </c>
      <c r="E129" s="2">
        <f>'Client 2'!W17</f>
        <v>0</v>
      </c>
      <c r="F129" s="350">
        <f>'Client 2'!X17</f>
        <v>0</v>
      </c>
      <c r="G129" s="2">
        <f>'Client 2'!Y17</f>
        <v>0</v>
      </c>
      <c r="H129" s="2">
        <f>'Client 2'!Z17</f>
        <v>0</v>
      </c>
      <c r="I129" s="2">
        <f>'Client 2'!AA17</f>
        <v>0</v>
      </c>
      <c r="J129" s="2">
        <f>'Client 2'!AB17</f>
        <v>0</v>
      </c>
      <c r="K129" s="2">
        <f>'Client 2'!AC17</f>
        <v>0</v>
      </c>
      <c r="L129" s="2" cm="1">
        <f t="array" aca="1" ref="L129" ca="1">IF(B129=0,0,INDIRECT("MRN_"&amp;A129))</f>
        <v>0</v>
      </c>
      <c r="M129" s="2">
        <f t="shared" si="51"/>
        <v>0</v>
      </c>
      <c r="N129" s="2" t="str">
        <f t="shared" si="52"/>
        <v>No</v>
      </c>
      <c r="O129" s="2" t="str">
        <f t="shared" si="53"/>
        <v>No</v>
      </c>
      <c r="P129" s="2" t="str" cm="1">
        <f t="array" aca="1" ref="P129" ca="1">IF(OR(INDIRECT("MRN_"&amp;A129)="N/A",B129=0),"No","Yes")</f>
        <v>No</v>
      </c>
    </row>
    <row r="130" spans="1:16" x14ac:dyDescent="0.2">
      <c r="A130" s="68">
        <v>2</v>
      </c>
      <c r="B130" s="349">
        <f>'Client 2'!T18</f>
        <v>0</v>
      </c>
      <c r="C130" s="2">
        <f>'Client 2'!U18</f>
        <v>0</v>
      </c>
      <c r="D130" s="2">
        <f>'Client 2'!V18</f>
        <v>0</v>
      </c>
      <c r="E130" s="2">
        <f>'Client 2'!W18</f>
        <v>0</v>
      </c>
      <c r="F130" s="350">
        <f>'Client 2'!X18</f>
        <v>0</v>
      </c>
      <c r="G130" s="2">
        <f>'Client 2'!Y18</f>
        <v>0</v>
      </c>
      <c r="H130" s="2">
        <f>'Client 2'!Z18</f>
        <v>0</v>
      </c>
      <c r="I130" s="2">
        <f>'Client 2'!AA18</f>
        <v>0</v>
      </c>
      <c r="J130" s="2">
        <f>'Client 2'!AB18</f>
        <v>0</v>
      </c>
      <c r="K130" s="2">
        <f>'Client 2'!AC18</f>
        <v>0</v>
      </c>
      <c r="L130" s="2" cm="1">
        <f t="array" aca="1" ref="L130" ca="1">IF(B130=0,0,INDIRECT("MRN_"&amp;A130))</f>
        <v>0</v>
      </c>
      <c r="M130" s="2">
        <f t="shared" si="51"/>
        <v>0</v>
      </c>
      <c r="N130" s="2" t="str">
        <f t="shared" si="52"/>
        <v>No</v>
      </c>
      <c r="O130" s="2" t="str">
        <f t="shared" si="53"/>
        <v>No</v>
      </c>
      <c r="P130" s="2" t="str" cm="1">
        <f t="array" aca="1" ref="P130" ca="1">IF(OR(INDIRECT("MRN_"&amp;A130)="N/A",B130=0),"No","Yes")</f>
        <v>No</v>
      </c>
    </row>
    <row r="131" spans="1:16" x14ac:dyDescent="0.2">
      <c r="A131" s="68">
        <v>2</v>
      </c>
      <c r="B131" s="349">
        <f>'Client 2'!T19</f>
        <v>0</v>
      </c>
      <c r="C131" s="2">
        <f>'Client 2'!U19</f>
        <v>0</v>
      </c>
      <c r="D131" s="2">
        <f>'Client 2'!V19</f>
        <v>0</v>
      </c>
      <c r="E131" s="2">
        <f>'Client 2'!W19</f>
        <v>0</v>
      </c>
      <c r="F131" s="350">
        <f>'Client 2'!X19</f>
        <v>0</v>
      </c>
      <c r="G131" s="2">
        <f>'Client 2'!Y19</f>
        <v>0</v>
      </c>
      <c r="H131" s="2">
        <f>'Client 2'!Z19</f>
        <v>0</v>
      </c>
      <c r="I131" s="2">
        <f>'Client 2'!AA19</f>
        <v>0</v>
      </c>
      <c r="J131" s="2">
        <f>'Client 2'!AB19</f>
        <v>0</v>
      </c>
      <c r="K131" s="2">
        <f>'Client 2'!AC19</f>
        <v>0</v>
      </c>
      <c r="L131" s="2" cm="1">
        <f t="array" aca="1" ref="L131" ca="1">IF(B131=0,0,INDIRECT("MRN_"&amp;A131))</f>
        <v>0</v>
      </c>
      <c r="M131" s="2">
        <f t="shared" si="51"/>
        <v>0</v>
      </c>
      <c r="N131" s="2" t="str">
        <f t="shared" si="52"/>
        <v>No</v>
      </c>
      <c r="O131" s="2" t="str">
        <f t="shared" si="53"/>
        <v>No</v>
      </c>
      <c r="P131" s="2" t="str" cm="1">
        <f t="array" aca="1" ref="P131" ca="1">IF(OR(INDIRECT("MRN_"&amp;A131)="N/A",B131=0),"No","Yes")</f>
        <v>No</v>
      </c>
    </row>
    <row r="132" spans="1:16" x14ac:dyDescent="0.2">
      <c r="A132" s="68">
        <v>2</v>
      </c>
      <c r="B132" s="349">
        <f>'Client 2'!T20</f>
        <v>0</v>
      </c>
      <c r="C132" s="2">
        <f>'Client 2'!U20</f>
        <v>0</v>
      </c>
      <c r="D132" s="2">
        <f>'Client 2'!V20</f>
        <v>0</v>
      </c>
      <c r="E132" s="2">
        <f>'Client 2'!W20</f>
        <v>0</v>
      </c>
      <c r="F132" s="350">
        <f>'Client 2'!X20</f>
        <v>0</v>
      </c>
      <c r="G132" s="2">
        <f>'Client 2'!Y20</f>
        <v>0</v>
      </c>
      <c r="H132" s="2">
        <f>'Client 2'!Z20</f>
        <v>0</v>
      </c>
      <c r="I132" s="2">
        <f>'Client 2'!AA20</f>
        <v>0</v>
      </c>
      <c r="J132" s="2">
        <f>'Client 2'!AB20</f>
        <v>0</v>
      </c>
      <c r="K132" s="2">
        <f>'Client 2'!AC20</f>
        <v>0</v>
      </c>
      <c r="L132" s="2" cm="1">
        <f t="array" aca="1" ref="L132" ca="1">IF(B132=0,0,INDIRECT("MRN_"&amp;A132))</f>
        <v>0</v>
      </c>
      <c r="M132" s="2">
        <f t="shared" si="51"/>
        <v>0</v>
      </c>
      <c r="N132" s="2" t="str">
        <f t="shared" si="52"/>
        <v>No</v>
      </c>
      <c r="O132" s="2" t="str">
        <f t="shared" si="53"/>
        <v>No</v>
      </c>
      <c r="P132" s="2" t="str" cm="1">
        <f t="array" aca="1" ref="P132" ca="1">IF(OR(INDIRECT("MRN_"&amp;A132)="N/A",B132=0),"No","Yes")</f>
        <v>No</v>
      </c>
    </row>
    <row r="133" spans="1:16" x14ac:dyDescent="0.2">
      <c r="A133" s="68">
        <v>2</v>
      </c>
      <c r="B133" s="349">
        <f>'Client 2'!T21</f>
        <v>0</v>
      </c>
      <c r="C133" s="2">
        <f>'Client 2'!U21</f>
        <v>0</v>
      </c>
      <c r="D133" s="2">
        <f>'Client 2'!V21</f>
        <v>0</v>
      </c>
      <c r="E133" s="2">
        <f>'Client 2'!W21</f>
        <v>0</v>
      </c>
      <c r="F133" s="350">
        <f>'Client 2'!X21</f>
        <v>0</v>
      </c>
      <c r="G133" s="2">
        <f>'Client 2'!Y21</f>
        <v>0</v>
      </c>
      <c r="H133" s="2">
        <f>'Client 2'!Z21</f>
        <v>0</v>
      </c>
      <c r="I133" s="2">
        <f>'Client 2'!AA21</f>
        <v>0</v>
      </c>
      <c r="J133" s="2">
        <f>'Client 2'!AB21</f>
        <v>0</v>
      </c>
      <c r="K133" s="2">
        <f>'Client 2'!AC21</f>
        <v>0</v>
      </c>
      <c r="L133" s="2" cm="1">
        <f t="array" aca="1" ref="L133" ca="1">IF(B133=0,0,INDIRECT("MRN_"&amp;A133))</f>
        <v>0</v>
      </c>
      <c r="M133" s="2">
        <f t="shared" si="51"/>
        <v>0</v>
      </c>
      <c r="N133" s="2" t="str">
        <f t="shared" si="52"/>
        <v>No</v>
      </c>
      <c r="O133" s="2" t="str">
        <f t="shared" si="53"/>
        <v>No</v>
      </c>
      <c r="P133" s="2" t="str" cm="1">
        <f t="array" aca="1" ref="P133" ca="1">IF(OR(INDIRECT("MRN_"&amp;A133)="N/A",B133=0),"No","Yes")</f>
        <v>No</v>
      </c>
    </row>
    <row r="134" spans="1:16" x14ac:dyDescent="0.2">
      <c r="A134" s="68">
        <v>2</v>
      </c>
      <c r="B134" s="349">
        <f>'Client 2'!T22</f>
        <v>0</v>
      </c>
      <c r="C134" s="2">
        <f>'Client 2'!U22</f>
        <v>0</v>
      </c>
      <c r="D134" s="2">
        <f>'Client 2'!V22</f>
        <v>0</v>
      </c>
      <c r="E134" s="2">
        <f>'Client 2'!W22</f>
        <v>0</v>
      </c>
      <c r="F134" s="350">
        <f>'Client 2'!X22</f>
        <v>0</v>
      </c>
      <c r="G134" s="2">
        <f>'Client 2'!Y22</f>
        <v>0</v>
      </c>
      <c r="H134" s="2">
        <f>'Client 2'!Z22</f>
        <v>0</v>
      </c>
      <c r="I134" s="2">
        <f>'Client 2'!AA22</f>
        <v>0</v>
      </c>
      <c r="J134" s="2">
        <f>'Client 2'!AB22</f>
        <v>0</v>
      </c>
      <c r="K134" s="2">
        <f>'Client 2'!AC22</f>
        <v>0</v>
      </c>
      <c r="L134" s="2" cm="1">
        <f t="array" aca="1" ref="L134" ca="1">IF(B134=0,0,INDIRECT("MRN_"&amp;A134))</f>
        <v>0</v>
      </c>
      <c r="M134" s="2">
        <f t="shared" si="51"/>
        <v>0</v>
      </c>
      <c r="N134" s="2" t="str">
        <f t="shared" si="52"/>
        <v>No</v>
      </c>
      <c r="O134" s="2" t="str">
        <f t="shared" si="53"/>
        <v>No</v>
      </c>
      <c r="P134" s="2" t="str" cm="1">
        <f t="array" aca="1" ref="P134" ca="1">IF(OR(INDIRECT("MRN_"&amp;A134)="N/A",B134=0),"No","Yes")</f>
        <v>No</v>
      </c>
    </row>
    <row r="135" spans="1:16" x14ac:dyDescent="0.2">
      <c r="A135" s="68">
        <v>2</v>
      </c>
      <c r="B135" s="349">
        <f>'Client 2'!T23</f>
        <v>0</v>
      </c>
      <c r="C135" s="2">
        <f>'Client 2'!U23</f>
        <v>0</v>
      </c>
      <c r="D135" s="2">
        <f>'Client 2'!V23</f>
        <v>0</v>
      </c>
      <c r="E135" s="2">
        <f>'Client 2'!W23</f>
        <v>0</v>
      </c>
      <c r="F135" s="350">
        <f>'Client 2'!X23</f>
        <v>0</v>
      </c>
      <c r="G135" s="2">
        <f>'Client 2'!Y23</f>
        <v>0</v>
      </c>
      <c r="H135" s="2">
        <f>'Client 2'!Z23</f>
        <v>0</v>
      </c>
      <c r="I135" s="2">
        <f>'Client 2'!AA23</f>
        <v>0</v>
      </c>
      <c r="J135" s="2">
        <f>'Client 2'!AB23</f>
        <v>0</v>
      </c>
      <c r="K135" s="2">
        <f>'Client 2'!AC23</f>
        <v>0</v>
      </c>
      <c r="L135" s="2" cm="1">
        <f t="array" aca="1" ref="L135" ca="1">IF(B135=0,0,INDIRECT("MRN_"&amp;A135))</f>
        <v>0</v>
      </c>
      <c r="M135" s="2">
        <f t="shared" si="51"/>
        <v>0</v>
      </c>
      <c r="N135" s="2" t="str">
        <f t="shared" si="52"/>
        <v>No</v>
      </c>
      <c r="O135" s="2" t="str">
        <f t="shared" si="53"/>
        <v>No</v>
      </c>
      <c r="P135" s="2" t="str" cm="1">
        <f t="array" aca="1" ref="P135" ca="1">IF(OR(INDIRECT("MRN_"&amp;A135)="N/A",B135=0),"No","Yes")</f>
        <v>No</v>
      </c>
    </row>
    <row r="136" spans="1:16" x14ac:dyDescent="0.2">
      <c r="A136" s="68">
        <v>2</v>
      </c>
      <c r="B136" s="349">
        <f>'Client 2'!T24</f>
        <v>0</v>
      </c>
      <c r="C136" s="2">
        <f>'Client 2'!U24</f>
        <v>0</v>
      </c>
      <c r="D136" s="2">
        <f>'Client 2'!V24</f>
        <v>0</v>
      </c>
      <c r="E136" s="2">
        <f>'Client 2'!W24</f>
        <v>0</v>
      </c>
      <c r="F136" s="350">
        <f>'Client 2'!X24</f>
        <v>0</v>
      </c>
      <c r="G136" s="2">
        <f>'Client 2'!Y24</f>
        <v>0</v>
      </c>
      <c r="H136" s="2">
        <f>'Client 2'!Z24</f>
        <v>0</v>
      </c>
      <c r="I136" s="2">
        <f>'Client 2'!AA24</f>
        <v>0</v>
      </c>
      <c r="J136" s="2">
        <f>'Client 2'!AB24</f>
        <v>0</v>
      </c>
      <c r="K136" s="2">
        <f>'Client 2'!AC24</f>
        <v>0</v>
      </c>
      <c r="L136" s="2" cm="1">
        <f t="array" aca="1" ref="L136" ca="1">IF(B136=0,0,INDIRECT("MRN_"&amp;A136))</f>
        <v>0</v>
      </c>
      <c r="M136" s="2">
        <f t="shared" si="51"/>
        <v>0</v>
      </c>
      <c r="N136" s="2" t="str">
        <f t="shared" si="52"/>
        <v>No</v>
      </c>
      <c r="O136" s="2" t="str">
        <f t="shared" si="53"/>
        <v>No</v>
      </c>
      <c r="P136" s="2" t="str" cm="1">
        <f t="array" aca="1" ref="P136" ca="1">IF(OR(INDIRECT("MRN_"&amp;A136)="N/A",B136=0),"No","Yes")</f>
        <v>No</v>
      </c>
    </row>
    <row r="137" spans="1:16" x14ac:dyDescent="0.2">
      <c r="A137" s="68">
        <v>2</v>
      </c>
      <c r="B137" s="349">
        <f>'Client 2'!T25</f>
        <v>0</v>
      </c>
      <c r="C137" s="2">
        <f>'Client 2'!U25</f>
        <v>0</v>
      </c>
      <c r="D137" s="2">
        <f>'Client 2'!V25</f>
        <v>0</v>
      </c>
      <c r="E137" s="2">
        <f>'Client 2'!W25</f>
        <v>0</v>
      </c>
      <c r="F137" s="350">
        <f>'Client 2'!X25</f>
        <v>0</v>
      </c>
      <c r="G137" s="2">
        <f>'Client 2'!Y25</f>
        <v>0</v>
      </c>
      <c r="H137" s="2">
        <f>'Client 2'!Z25</f>
        <v>0</v>
      </c>
      <c r="I137" s="2">
        <f>'Client 2'!AA25</f>
        <v>0</v>
      </c>
      <c r="J137" s="2">
        <f>'Client 2'!AB25</f>
        <v>0</v>
      </c>
      <c r="K137" s="2">
        <f>'Client 2'!AC25</f>
        <v>0</v>
      </c>
      <c r="L137" s="2" cm="1">
        <f t="array" aca="1" ref="L137" ca="1">IF(B137=0,0,INDIRECT("MRN_"&amp;A137))</f>
        <v>0</v>
      </c>
      <c r="M137" s="2">
        <f t="shared" si="51"/>
        <v>0</v>
      </c>
      <c r="N137" s="2" t="str">
        <f t="shared" si="52"/>
        <v>No</v>
      </c>
      <c r="O137" s="2" t="str">
        <f t="shared" si="53"/>
        <v>No</v>
      </c>
      <c r="P137" s="2" t="str" cm="1">
        <f t="array" aca="1" ref="P137" ca="1">IF(OR(INDIRECT("MRN_"&amp;A137)="N/A",B137=0),"No","Yes")</f>
        <v>No</v>
      </c>
    </row>
    <row r="138" spans="1:16" x14ac:dyDescent="0.2">
      <c r="A138" s="68">
        <v>2</v>
      </c>
      <c r="B138" s="349">
        <f>'Client 2'!T26</f>
        <v>0</v>
      </c>
      <c r="C138" s="2">
        <f>'Client 2'!U26</f>
        <v>0</v>
      </c>
      <c r="D138" s="2">
        <f>'Client 2'!V26</f>
        <v>0</v>
      </c>
      <c r="E138" s="2">
        <f>'Client 2'!W26</f>
        <v>0</v>
      </c>
      <c r="F138" s="350">
        <f>'Client 2'!X26</f>
        <v>0</v>
      </c>
      <c r="G138" s="2">
        <f>'Client 2'!Y26</f>
        <v>0</v>
      </c>
      <c r="H138" s="2">
        <f>'Client 2'!Z26</f>
        <v>0</v>
      </c>
      <c r="I138" s="2">
        <f>'Client 2'!AA26</f>
        <v>0</v>
      </c>
      <c r="J138" s="2">
        <f>'Client 2'!AB26</f>
        <v>0</v>
      </c>
      <c r="K138" s="2">
        <f>'Client 2'!AC26</f>
        <v>0</v>
      </c>
      <c r="L138" s="2" cm="1">
        <f t="array" aca="1" ref="L138" ca="1">IF(B138=0,0,INDIRECT("MRN_"&amp;A138))</f>
        <v>0</v>
      </c>
      <c r="M138" s="2">
        <f t="shared" si="51"/>
        <v>0</v>
      </c>
      <c r="N138" s="2" t="str">
        <f t="shared" si="52"/>
        <v>No</v>
      </c>
      <c r="O138" s="2" t="str">
        <f t="shared" si="53"/>
        <v>No</v>
      </c>
      <c r="P138" s="2" t="str" cm="1">
        <f t="array" aca="1" ref="P138" ca="1">IF(OR(INDIRECT("MRN_"&amp;A138)="N/A",B138=0),"No","Yes")</f>
        <v>No</v>
      </c>
    </row>
    <row r="139" spans="1:16" x14ac:dyDescent="0.2">
      <c r="A139" s="68">
        <v>2</v>
      </c>
      <c r="B139" s="349">
        <f>'Client 2'!T27</f>
        <v>0</v>
      </c>
      <c r="C139" s="2">
        <f>'Client 2'!U27</f>
        <v>0</v>
      </c>
      <c r="D139" s="2">
        <f>'Client 2'!V27</f>
        <v>0</v>
      </c>
      <c r="E139" s="2">
        <f>'Client 2'!W27</f>
        <v>0</v>
      </c>
      <c r="F139" s="350">
        <f>'Client 2'!X27</f>
        <v>0</v>
      </c>
      <c r="G139" s="2">
        <f>'Client 2'!Y27</f>
        <v>0</v>
      </c>
      <c r="H139" s="2">
        <f>'Client 2'!Z27</f>
        <v>0</v>
      </c>
      <c r="I139" s="2">
        <f>'Client 2'!AA27</f>
        <v>0</v>
      </c>
      <c r="J139" s="2">
        <f>'Client 2'!AB27</f>
        <v>0</v>
      </c>
      <c r="K139" s="2">
        <f>'Client 2'!AC27</f>
        <v>0</v>
      </c>
      <c r="L139" s="2" cm="1">
        <f t="array" aca="1" ref="L139" ca="1">IF(B139=0,0,INDIRECT("MRN_"&amp;A139))</f>
        <v>0</v>
      </c>
      <c r="M139" s="2">
        <f t="shared" si="51"/>
        <v>0</v>
      </c>
      <c r="N139" s="2" t="str">
        <f t="shared" si="52"/>
        <v>No</v>
      </c>
      <c r="O139" s="2" t="str">
        <f t="shared" si="53"/>
        <v>No</v>
      </c>
      <c r="P139" s="2" t="str" cm="1">
        <f t="array" aca="1" ref="P139" ca="1">IF(OR(INDIRECT("MRN_"&amp;A139)="N/A",B139=0),"No","Yes")</f>
        <v>No</v>
      </c>
    </row>
    <row r="140" spans="1:16" x14ac:dyDescent="0.2">
      <c r="A140" s="68">
        <v>2</v>
      </c>
      <c r="B140" s="349">
        <f>'Client 2'!T28</f>
        <v>0</v>
      </c>
      <c r="C140" s="2">
        <f>'Client 2'!U28</f>
        <v>0</v>
      </c>
      <c r="D140" s="2">
        <f>'Client 2'!V28</f>
        <v>0</v>
      </c>
      <c r="E140" s="2">
        <f>'Client 2'!W28</f>
        <v>0</v>
      </c>
      <c r="F140" s="350">
        <f>'Client 2'!X28</f>
        <v>0</v>
      </c>
      <c r="G140" s="2">
        <f>'Client 2'!Y28</f>
        <v>0</v>
      </c>
      <c r="H140" s="2">
        <f>'Client 2'!Z28</f>
        <v>0</v>
      </c>
      <c r="I140" s="2">
        <f>'Client 2'!AA28</f>
        <v>0</v>
      </c>
      <c r="J140" s="2">
        <f>'Client 2'!AB28</f>
        <v>0</v>
      </c>
      <c r="K140" s="2">
        <f>'Client 2'!AC28</f>
        <v>0</v>
      </c>
      <c r="L140" s="2" cm="1">
        <f t="array" aca="1" ref="L140" ca="1">IF(B140=0,0,INDIRECT("MRN_"&amp;A140))</f>
        <v>0</v>
      </c>
      <c r="M140" s="2">
        <f t="shared" si="51"/>
        <v>0</v>
      </c>
      <c r="N140" s="2" t="str">
        <f t="shared" si="52"/>
        <v>No</v>
      </c>
      <c r="O140" s="2" t="str">
        <f t="shared" si="53"/>
        <v>No</v>
      </c>
      <c r="P140" s="2" t="str" cm="1">
        <f t="array" aca="1" ref="P140" ca="1">IF(OR(INDIRECT("MRN_"&amp;A140)="N/A",B140=0),"No","Yes")</f>
        <v>No</v>
      </c>
    </row>
    <row r="141" spans="1:16" x14ac:dyDescent="0.2">
      <c r="A141" s="68">
        <v>2</v>
      </c>
      <c r="B141" s="349">
        <f>'Client 2'!T29</f>
        <v>0</v>
      </c>
      <c r="C141" s="2">
        <f>'Client 2'!U29</f>
        <v>0</v>
      </c>
      <c r="D141" s="2">
        <f>'Client 2'!V29</f>
        <v>0</v>
      </c>
      <c r="E141" s="2">
        <f>'Client 2'!W29</f>
        <v>0</v>
      </c>
      <c r="F141" s="350">
        <f>'Client 2'!X29</f>
        <v>0</v>
      </c>
      <c r="G141" s="2">
        <f>'Client 2'!Y29</f>
        <v>0</v>
      </c>
      <c r="H141" s="2">
        <f>'Client 2'!Z29</f>
        <v>0</v>
      </c>
      <c r="I141" s="2">
        <f>'Client 2'!AA29</f>
        <v>0</v>
      </c>
      <c r="J141" s="2">
        <f>'Client 2'!AB29</f>
        <v>0</v>
      </c>
      <c r="K141" s="2">
        <f>'Client 2'!AC29</f>
        <v>0</v>
      </c>
      <c r="L141" s="2" cm="1">
        <f t="array" aca="1" ref="L141" ca="1">IF(B141=0,0,INDIRECT("MRN_"&amp;A141))</f>
        <v>0</v>
      </c>
      <c r="M141" s="2">
        <f t="shared" si="51"/>
        <v>0</v>
      </c>
      <c r="N141" s="2" t="str">
        <f t="shared" si="52"/>
        <v>No</v>
      </c>
      <c r="O141" s="2" t="str">
        <f t="shared" si="53"/>
        <v>No</v>
      </c>
      <c r="P141" s="2" t="str" cm="1">
        <f t="array" aca="1" ref="P141" ca="1">IF(OR(INDIRECT("MRN_"&amp;A141)="N/A",B141=0),"No","Yes")</f>
        <v>No</v>
      </c>
    </row>
    <row r="142" spans="1:16" x14ac:dyDescent="0.2">
      <c r="A142" s="68">
        <v>2</v>
      </c>
      <c r="B142" s="349">
        <f>'Client 2'!T30</f>
        <v>0</v>
      </c>
      <c r="C142" s="2">
        <f>'Client 2'!U30</f>
        <v>0</v>
      </c>
      <c r="D142" s="2">
        <f>'Client 2'!V30</f>
        <v>0</v>
      </c>
      <c r="E142" s="2">
        <f>'Client 2'!W30</f>
        <v>0</v>
      </c>
      <c r="F142" s="350">
        <f>'Client 2'!X30</f>
        <v>0</v>
      </c>
      <c r="G142" s="2">
        <f>'Client 2'!Y30</f>
        <v>0</v>
      </c>
      <c r="H142" s="2">
        <f>'Client 2'!Z30</f>
        <v>0</v>
      </c>
      <c r="I142" s="2">
        <f>'Client 2'!AA30</f>
        <v>0</v>
      </c>
      <c r="J142" s="2">
        <f>'Client 2'!AB30</f>
        <v>0</v>
      </c>
      <c r="K142" s="2">
        <f>'Client 2'!AC30</f>
        <v>0</v>
      </c>
      <c r="L142" s="2" cm="1">
        <f t="array" aca="1" ref="L142" ca="1">IF(B142=0,0,INDIRECT("MRN_"&amp;A142))</f>
        <v>0</v>
      </c>
      <c r="M142" s="2">
        <f t="shared" si="51"/>
        <v>0</v>
      </c>
      <c r="N142" s="2" t="str">
        <f t="shared" si="52"/>
        <v>No</v>
      </c>
      <c r="O142" s="2" t="str">
        <f t="shared" si="53"/>
        <v>No</v>
      </c>
      <c r="P142" s="2" t="str" cm="1">
        <f t="array" aca="1" ref="P142" ca="1">IF(OR(INDIRECT("MRN_"&amp;A142)="N/A",B142=0),"No","Yes")</f>
        <v>No</v>
      </c>
    </row>
    <row r="143" spans="1:16" x14ac:dyDescent="0.2">
      <c r="A143" s="68">
        <v>2</v>
      </c>
      <c r="B143" s="349">
        <f>'Client 2'!T31</f>
        <v>0</v>
      </c>
      <c r="C143" s="2">
        <f>'Client 2'!U31</f>
        <v>0</v>
      </c>
      <c r="D143" s="2">
        <f>'Client 2'!V31</f>
        <v>0</v>
      </c>
      <c r="E143" s="2">
        <f>'Client 2'!W31</f>
        <v>0</v>
      </c>
      <c r="F143" s="350">
        <f>'Client 2'!X31</f>
        <v>0</v>
      </c>
      <c r="G143" s="2">
        <f>'Client 2'!Y31</f>
        <v>0</v>
      </c>
      <c r="H143" s="2">
        <f>'Client 2'!Z31</f>
        <v>0</v>
      </c>
      <c r="I143" s="2">
        <f>'Client 2'!AA31</f>
        <v>0</v>
      </c>
      <c r="J143" s="2">
        <f>'Client 2'!AB31</f>
        <v>0</v>
      </c>
      <c r="K143" s="2">
        <f>'Client 2'!AC31</f>
        <v>0</v>
      </c>
      <c r="L143" s="2" cm="1">
        <f t="array" aca="1" ref="L143" ca="1">IF(B143=0,0,INDIRECT("MRN_"&amp;A143))</f>
        <v>0</v>
      </c>
      <c r="M143" s="2">
        <f t="shared" si="51"/>
        <v>0</v>
      </c>
      <c r="N143" s="2" t="str">
        <f t="shared" si="52"/>
        <v>No</v>
      </c>
      <c r="O143" s="2" t="str">
        <f t="shared" si="53"/>
        <v>No</v>
      </c>
      <c r="P143" s="2" t="str" cm="1">
        <f t="array" aca="1" ref="P143" ca="1">IF(OR(INDIRECT("MRN_"&amp;A143)="N/A",B143=0),"No","Yes")</f>
        <v>No</v>
      </c>
    </row>
    <row r="144" spans="1:16" x14ac:dyDescent="0.2">
      <c r="A144" s="68">
        <v>2</v>
      </c>
      <c r="B144" s="349">
        <f>'Client 2'!T32</f>
        <v>0</v>
      </c>
      <c r="C144" s="2">
        <f>'Client 2'!U32</f>
        <v>0</v>
      </c>
      <c r="D144" s="2">
        <f>'Client 2'!V32</f>
        <v>0</v>
      </c>
      <c r="E144" s="2">
        <f>'Client 2'!W32</f>
        <v>0</v>
      </c>
      <c r="F144" s="350">
        <f>'Client 2'!X32</f>
        <v>0</v>
      </c>
      <c r="G144" s="2">
        <f>'Client 2'!Y32</f>
        <v>0</v>
      </c>
      <c r="H144" s="2">
        <f>'Client 2'!Z32</f>
        <v>0</v>
      </c>
      <c r="I144" s="2">
        <f>'Client 2'!AA32</f>
        <v>0</v>
      </c>
      <c r="J144" s="2">
        <f>'Client 2'!AB32</f>
        <v>0</v>
      </c>
      <c r="K144" s="2">
        <f>'Client 2'!AC32</f>
        <v>0</v>
      </c>
      <c r="L144" s="2" cm="1">
        <f t="array" aca="1" ref="L144" ca="1">IF(B144=0,0,INDIRECT("MRN_"&amp;A144))</f>
        <v>0</v>
      </c>
      <c r="M144" s="2">
        <f t="shared" si="51"/>
        <v>0</v>
      </c>
      <c r="N144" s="2" t="str">
        <f t="shared" si="52"/>
        <v>No</v>
      </c>
      <c r="O144" s="2" t="str">
        <f t="shared" si="53"/>
        <v>No</v>
      </c>
      <c r="P144" s="2" t="str" cm="1">
        <f t="array" aca="1" ref="P144" ca="1">IF(OR(INDIRECT("MRN_"&amp;A144)="N/A",B144=0),"No","Yes")</f>
        <v>No</v>
      </c>
    </row>
    <row r="145" spans="1:16" x14ac:dyDescent="0.2">
      <c r="A145" s="68">
        <v>2</v>
      </c>
      <c r="B145" s="349">
        <f>'Client 2'!T33</f>
        <v>0</v>
      </c>
      <c r="C145" s="2">
        <f>'Client 2'!U33</f>
        <v>0</v>
      </c>
      <c r="D145" s="2">
        <f>'Client 2'!V33</f>
        <v>0</v>
      </c>
      <c r="E145" s="2">
        <f>'Client 2'!W33</f>
        <v>0</v>
      </c>
      <c r="F145" s="350">
        <f>'Client 2'!X33</f>
        <v>0</v>
      </c>
      <c r="G145" s="2">
        <f>'Client 2'!Y33</f>
        <v>0</v>
      </c>
      <c r="H145" s="2">
        <f>'Client 2'!Z33</f>
        <v>0</v>
      </c>
      <c r="I145" s="2">
        <f>'Client 2'!AA33</f>
        <v>0</v>
      </c>
      <c r="J145" s="2">
        <f>'Client 2'!AB33</f>
        <v>0</v>
      </c>
      <c r="K145" s="2">
        <f>'Client 2'!AC33</f>
        <v>0</v>
      </c>
      <c r="L145" s="2" cm="1">
        <f t="array" aca="1" ref="L145" ca="1">IF(B145=0,0,INDIRECT("MRN_"&amp;A145))</f>
        <v>0</v>
      </c>
      <c r="M145" s="2">
        <f t="shared" si="51"/>
        <v>0</v>
      </c>
      <c r="N145" s="2" t="str">
        <f t="shared" si="52"/>
        <v>No</v>
      </c>
      <c r="O145" s="2" t="str">
        <f t="shared" si="53"/>
        <v>No</v>
      </c>
      <c r="P145" s="2" t="str" cm="1">
        <f t="array" aca="1" ref="P145" ca="1">IF(OR(INDIRECT("MRN_"&amp;A145)="N/A",B145=0),"No","Yes")</f>
        <v>No</v>
      </c>
    </row>
    <row r="146" spans="1:16" x14ac:dyDescent="0.2">
      <c r="A146" s="68">
        <v>2</v>
      </c>
      <c r="B146" s="349">
        <f>'Client 2'!T34</f>
        <v>0</v>
      </c>
      <c r="C146" s="2">
        <f>'Client 2'!U34</f>
        <v>0</v>
      </c>
      <c r="D146" s="2">
        <f>'Client 2'!V34</f>
        <v>0</v>
      </c>
      <c r="E146" s="2">
        <f>'Client 2'!W34</f>
        <v>0</v>
      </c>
      <c r="F146" s="350">
        <f>'Client 2'!X34</f>
        <v>0</v>
      </c>
      <c r="G146" s="2">
        <f>'Client 2'!Y34</f>
        <v>0</v>
      </c>
      <c r="H146" s="2">
        <f>'Client 2'!Z34</f>
        <v>0</v>
      </c>
      <c r="I146" s="2">
        <f>'Client 2'!AA34</f>
        <v>0</v>
      </c>
      <c r="J146" s="2">
        <f>'Client 2'!AB34</f>
        <v>0</v>
      </c>
      <c r="K146" s="2">
        <f>'Client 2'!AC34</f>
        <v>0</v>
      </c>
      <c r="L146" s="2" cm="1">
        <f t="array" aca="1" ref="L146" ca="1">IF(B146=0,0,INDIRECT("MRN_"&amp;A146))</f>
        <v>0</v>
      </c>
      <c r="M146" s="2">
        <f t="shared" si="51"/>
        <v>0</v>
      </c>
      <c r="N146" s="2" t="str">
        <f t="shared" si="52"/>
        <v>No</v>
      </c>
      <c r="O146" s="2" t="str">
        <f t="shared" si="53"/>
        <v>No</v>
      </c>
      <c r="P146" s="2" t="str" cm="1">
        <f t="array" aca="1" ref="P146" ca="1">IF(OR(INDIRECT("MRN_"&amp;A146)="N/A",B146=0),"No","Yes")</f>
        <v>No</v>
      </c>
    </row>
    <row r="147" spans="1:16" x14ac:dyDescent="0.2">
      <c r="A147" s="68">
        <v>2</v>
      </c>
      <c r="B147" s="349">
        <f>'Client 2'!T35</f>
        <v>0</v>
      </c>
      <c r="C147" s="2">
        <f>'Client 2'!U35</f>
        <v>0</v>
      </c>
      <c r="D147" s="2">
        <f>'Client 2'!V35</f>
        <v>0</v>
      </c>
      <c r="E147" s="2">
        <f>'Client 2'!W35</f>
        <v>0</v>
      </c>
      <c r="F147" s="350">
        <f>'Client 2'!X35</f>
        <v>0</v>
      </c>
      <c r="G147" s="2">
        <f>'Client 2'!Y35</f>
        <v>0</v>
      </c>
      <c r="H147" s="2">
        <f>'Client 2'!Z35</f>
        <v>0</v>
      </c>
      <c r="I147" s="2">
        <f>'Client 2'!AA35</f>
        <v>0</v>
      </c>
      <c r="J147" s="2">
        <f>'Client 2'!AB35</f>
        <v>0</v>
      </c>
      <c r="K147" s="2">
        <f>'Client 2'!AC35</f>
        <v>0</v>
      </c>
      <c r="L147" s="2" cm="1">
        <f t="array" aca="1" ref="L147" ca="1">IF(B147=0,0,INDIRECT("MRN_"&amp;A147))</f>
        <v>0</v>
      </c>
      <c r="M147" s="2">
        <f t="shared" si="51"/>
        <v>0</v>
      </c>
      <c r="N147" s="2" t="str">
        <f t="shared" si="52"/>
        <v>No</v>
      </c>
      <c r="O147" s="2" t="str">
        <f t="shared" si="53"/>
        <v>No</v>
      </c>
      <c r="P147" s="2" t="str" cm="1">
        <f t="array" aca="1" ref="P147" ca="1">IF(OR(INDIRECT("MRN_"&amp;A147)="N/A",B147=0),"No","Yes")</f>
        <v>No</v>
      </c>
    </row>
    <row r="148" spans="1:16" x14ac:dyDescent="0.2">
      <c r="A148" s="68">
        <v>2</v>
      </c>
      <c r="B148" s="349">
        <f>'Client 2'!T36</f>
        <v>0</v>
      </c>
      <c r="C148" s="2">
        <f>'Client 2'!U36</f>
        <v>0</v>
      </c>
      <c r="D148" s="2">
        <f>'Client 2'!V36</f>
        <v>0</v>
      </c>
      <c r="E148" s="2">
        <f>'Client 2'!W36</f>
        <v>0</v>
      </c>
      <c r="F148" s="350">
        <f>'Client 2'!X36</f>
        <v>0</v>
      </c>
      <c r="G148" s="2">
        <f>'Client 2'!Y36</f>
        <v>0</v>
      </c>
      <c r="H148" s="2">
        <f>'Client 2'!Z36</f>
        <v>0</v>
      </c>
      <c r="I148" s="2">
        <f>'Client 2'!AA36</f>
        <v>0</v>
      </c>
      <c r="J148" s="2">
        <f>'Client 2'!AB36</f>
        <v>0</v>
      </c>
      <c r="K148" s="2">
        <f>'Client 2'!AC36</f>
        <v>0</v>
      </c>
      <c r="L148" s="2" cm="1">
        <f t="array" aca="1" ref="L148" ca="1">IF(B148=0,0,INDIRECT("MRN_"&amp;A148))</f>
        <v>0</v>
      </c>
      <c r="M148" s="2">
        <f t="shared" si="51"/>
        <v>0</v>
      </c>
      <c r="N148" s="2" t="str">
        <f t="shared" si="52"/>
        <v>No</v>
      </c>
      <c r="O148" s="2" t="str">
        <f t="shared" si="53"/>
        <v>No</v>
      </c>
      <c r="P148" s="2" t="str" cm="1">
        <f t="array" aca="1" ref="P148" ca="1">IF(OR(INDIRECT("MRN_"&amp;A148)="N/A",B148=0),"No","Yes")</f>
        <v>No</v>
      </c>
    </row>
    <row r="149" spans="1:16" x14ac:dyDescent="0.2">
      <c r="A149" s="68">
        <v>2</v>
      </c>
      <c r="B149" s="349">
        <f>'Client 2'!T37</f>
        <v>0</v>
      </c>
      <c r="C149" s="2">
        <f>'Client 2'!U37</f>
        <v>0</v>
      </c>
      <c r="D149" s="2">
        <f>'Client 2'!V37</f>
        <v>0</v>
      </c>
      <c r="E149" s="2">
        <f>'Client 2'!W37</f>
        <v>0</v>
      </c>
      <c r="F149" s="350">
        <f>'Client 2'!X37</f>
        <v>0</v>
      </c>
      <c r="G149" s="2">
        <f>'Client 2'!Y37</f>
        <v>0</v>
      </c>
      <c r="H149" s="2">
        <f>'Client 2'!Z37</f>
        <v>0</v>
      </c>
      <c r="I149" s="2">
        <f>'Client 2'!AA37</f>
        <v>0</v>
      </c>
      <c r="J149" s="2">
        <f>'Client 2'!AB37</f>
        <v>0</v>
      </c>
      <c r="K149" s="2">
        <f>'Client 2'!AC37</f>
        <v>0</v>
      </c>
      <c r="L149" s="2" cm="1">
        <f t="array" aca="1" ref="L149" ca="1">IF(B149=0,0,INDIRECT("MRN_"&amp;A149))</f>
        <v>0</v>
      </c>
      <c r="M149" s="2">
        <f t="shared" si="51"/>
        <v>0</v>
      </c>
      <c r="N149" s="2" t="str">
        <f t="shared" si="52"/>
        <v>No</v>
      </c>
      <c r="O149" s="2" t="str">
        <f t="shared" si="53"/>
        <v>No</v>
      </c>
      <c r="P149" s="2" t="str" cm="1">
        <f t="array" aca="1" ref="P149" ca="1">IF(OR(INDIRECT("MRN_"&amp;A149)="N/A",B149=0),"No","Yes")</f>
        <v>No</v>
      </c>
    </row>
    <row r="150" spans="1:16" x14ac:dyDescent="0.2">
      <c r="A150" s="68">
        <v>2</v>
      </c>
      <c r="B150" s="349">
        <f>'Client 2'!T38</f>
        <v>0</v>
      </c>
      <c r="C150" s="2">
        <f>'Client 2'!U38</f>
        <v>0</v>
      </c>
      <c r="D150" s="2">
        <f>'Client 2'!V38</f>
        <v>0</v>
      </c>
      <c r="E150" s="2">
        <f>'Client 2'!W38</f>
        <v>0</v>
      </c>
      <c r="F150" s="350">
        <f>'Client 2'!X38</f>
        <v>0</v>
      </c>
      <c r="G150" s="2">
        <f>'Client 2'!Y38</f>
        <v>0</v>
      </c>
      <c r="H150" s="2">
        <f>'Client 2'!Z38</f>
        <v>0</v>
      </c>
      <c r="I150" s="2">
        <f>'Client 2'!AA38</f>
        <v>0</v>
      </c>
      <c r="J150" s="2">
        <f>'Client 2'!AB38</f>
        <v>0</v>
      </c>
      <c r="K150" s="2">
        <f>'Client 2'!AC38</f>
        <v>0</v>
      </c>
      <c r="L150" s="2" cm="1">
        <f t="array" aca="1" ref="L150" ca="1">IF(B150=0,0,INDIRECT("MRN_"&amp;A150))</f>
        <v>0</v>
      </c>
      <c r="M150" s="2">
        <f t="shared" si="51"/>
        <v>0</v>
      </c>
      <c r="N150" s="2" t="str">
        <f t="shared" si="52"/>
        <v>No</v>
      </c>
      <c r="O150" s="2" t="str">
        <f t="shared" si="53"/>
        <v>No</v>
      </c>
      <c r="P150" s="2" t="str" cm="1">
        <f t="array" aca="1" ref="P150" ca="1">IF(OR(INDIRECT("MRN_"&amp;A150)="N/A",B150=0),"No","Yes")</f>
        <v>No</v>
      </c>
    </row>
    <row r="151" spans="1:16" x14ac:dyDescent="0.2">
      <c r="A151" s="68">
        <v>3</v>
      </c>
      <c r="B151" s="349">
        <f>'Client 3'!T9</f>
        <v>0</v>
      </c>
      <c r="C151" s="2">
        <f>'Client 3'!U9</f>
        <v>0</v>
      </c>
      <c r="D151" s="2">
        <f>'Client 3'!V9</f>
        <v>0</v>
      </c>
      <c r="E151" s="2">
        <f>'Client 3'!W9</f>
        <v>0</v>
      </c>
      <c r="F151" s="350">
        <f>'Client 3'!X9</f>
        <v>0</v>
      </c>
      <c r="G151" s="2">
        <f>'Client 3'!Y9</f>
        <v>0</v>
      </c>
      <c r="H151" s="2">
        <f>'Client 3'!Z9</f>
        <v>0</v>
      </c>
      <c r="I151" s="2">
        <f>'Client 3'!AA9</f>
        <v>0</v>
      </c>
      <c r="J151" s="2">
        <f>'Client 3'!AB9</f>
        <v>0</v>
      </c>
      <c r="K151" s="2">
        <f>'Client 3'!AC9</f>
        <v>0</v>
      </c>
      <c r="L151" s="2" cm="1">
        <f t="array" aca="1" ref="L151" ca="1">IF(B151=0,0,INDIRECT("MRN_"&amp;A151))</f>
        <v>0</v>
      </c>
      <c r="M151" s="2">
        <f t="shared" si="51"/>
        <v>0</v>
      </c>
      <c r="N151" s="2" t="str">
        <f t="shared" si="52"/>
        <v>No</v>
      </c>
      <c r="O151" s="2" t="str">
        <f t="shared" si="53"/>
        <v>No</v>
      </c>
      <c r="P151" s="2" t="str" cm="1">
        <f t="array" aca="1" ref="P151" ca="1">IF(OR(INDIRECT("MRN_"&amp;A151)="N/A",B151=0),"No","Yes")</f>
        <v>No</v>
      </c>
    </row>
    <row r="152" spans="1:16" x14ac:dyDescent="0.2">
      <c r="A152" s="68">
        <v>3</v>
      </c>
      <c r="B152" s="349">
        <f>'Client 3'!T10</f>
        <v>0</v>
      </c>
      <c r="C152" s="2">
        <f>'Client 3'!U10</f>
        <v>0</v>
      </c>
      <c r="D152" s="2">
        <f>'Client 3'!V10</f>
        <v>0</v>
      </c>
      <c r="E152" s="2">
        <f>'Client 3'!W10</f>
        <v>0</v>
      </c>
      <c r="F152" s="350">
        <f>'Client 3'!X10</f>
        <v>0</v>
      </c>
      <c r="G152" s="2">
        <f>'Client 3'!Y10</f>
        <v>0</v>
      </c>
      <c r="H152" s="2">
        <f>'Client 3'!Z10</f>
        <v>0</v>
      </c>
      <c r="I152" s="2">
        <f>'Client 3'!AA10</f>
        <v>0</v>
      </c>
      <c r="J152" s="2">
        <f>'Client 3'!AB10</f>
        <v>0</v>
      </c>
      <c r="K152" s="2">
        <f>'Client 3'!AC10</f>
        <v>0</v>
      </c>
      <c r="L152" s="2" cm="1">
        <f t="array" aca="1" ref="L152" ca="1">IF(B152=0,0,INDIRECT("MRN_"&amp;A152))</f>
        <v>0</v>
      </c>
      <c r="M152" s="2">
        <f t="shared" si="51"/>
        <v>0</v>
      </c>
      <c r="N152" s="2" t="str">
        <f t="shared" si="52"/>
        <v>No</v>
      </c>
      <c r="O152" s="2" t="str">
        <f t="shared" si="53"/>
        <v>No</v>
      </c>
      <c r="P152" s="2" t="str" cm="1">
        <f t="array" aca="1" ref="P152" ca="1">IF(OR(INDIRECT("MRN_"&amp;A152)="N/A",B152=0),"No","Yes")</f>
        <v>No</v>
      </c>
    </row>
    <row r="153" spans="1:16" x14ac:dyDescent="0.2">
      <c r="A153" s="68">
        <v>3</v>
      </c>
      <c r="B153" s="349">
        <f>'Client 3'!T11</f>
        <v>0</v>
      </c>
      <c r="C153" s="2">
        <f>'Client 3'!U11</f>
        <v>0</v>
      </c>
      <c r="D153" s="2">
        <f>'Client 3'!V11</f>
        <v>0</v>
      </c>
      <c r="E153" s="2">
        <f>'Client 3'!W11</f>
        <v>0</v>
      </c>
      <c r="F153" s="350">
        <f>'Client 3'!X11</f>
        <v>0</v>
      </c>
      <c r="G153" s="2">
        <f>'Client 3'!Y11</f>
        <v>0</v>
      </c>
      <c r="H153" s="2">
        <f>'Client 3'!Z11</f>
        <v>0</v>
      </c>
      <c r="I153" s="2">
        <f>'Client 3'!AA11</f>
        <v>0</v>
      </c>
      <c r="J153" s="2">
        <f>'Client 3'!AB11</f>
        <v>0</v>
      </c>
      <c r="K153" s="2">
        <f>'Client 3'!AC11</f>
        <v>0</v>
      </c>
      <c r="L153" s="2" cm="1">
        <f t="array" aca="1" ref="L153" ca="1">IF(B153=0,0,INDIRECT("MRN_"&amp;A153))</f>
        <v>0</v>
      </c>
      <c r="M153" s="2">
        <f t="shared" si="51"/>
        <v>0</v>
      </c>
      <c r="N153" s="2" t="str">
        <f t="shared" si="52"/>
        <v>No</v>
      </c>
      <c r="O153" s="2" t="str">
        <f t="shared" si="53"/>
        <v>No</v>
      </c>
      <c r="P153" s="2" t="str" cm="1">
        <f t="array" aca="1" ref="P153" ca="1">IF(OR(INDIRECT("MRN_"&amp;A153)="N/A",B153=0),"No","Yes")</f>
        <v>No</v>
      </c>
    </row>
    <row r="154" spans="1:16" x14ac:dyDescent="0.2">
      <c r="A154" s="68">
        <v>3</v>
      </c>
      <c r="B154" s="349">
        <f>'Client 3'!T12</f>
        <v>0</v>
      </c>
      <c r="C154" s="2">
        <f>'Client 3'!U12</f>
        <v>0</v>
      </c>
      <c r="D154" s="2">
        <f>'Client 3'!V12</f>
        <v>0</v>
      </c>
      <c r="E154" s="2">
        <f>'Client 3'!W12</f>
        <v>0</v>
      </c>
      <c r="F154" s="350">
        <f>'Client 3'!X12</f>
        <v>0</v>
      </c>
      <c r="G154" s="2">
        <f>'Client 3'!Y12</f>
        <v>0</v>
      </c>
      <c r="H154" s="2">
        <f>'Client 3'!Z12</f>
        <v>0</v>
      </c>
      <c r="I154" s="2">
        <f>'Client 3'!AA12</f>
        <v>0</v>
      </c>
      <c r="J154" s="2">
        <f>'Client 3'!AB12</f>
        <v>0</v>
      </c>
      <c r="K154" s="2">
        <f>'Client 3'!AC12</f>
        <v>0</v>
      </c>
      <c r="L154" s="2" cm="1">
        <f t="array" aca="1" ref="L154" ca="1">IF(B154=0,0,INDIRECT("MRN_"&amp;A154))</f>
        <v>0</v>
      </c>
      <c r="M154" s="2">
        <f t="shared" si="51"/>
        <v>0</v>
      </c>
      <c r="N154" s="2" t="str">
        <f t="shared" si="52"/>
        <v>No</v>
      </c>
      <c r="O154" s="2" t="str">
        <f t="shared" si="53"/>
        <v>No</v>
      </c>
      <c r="P154" s="2" t="str" cm="1">
        <f t="array" aca="1" ref="P154" ca="1">IF(OR(INDIRECT("MRN_"&amp;A154)="N/A",B154=0),"No","Yes")</f>
        <v>No</v>
      </c>
    </row>
    <row r="155" spans="1:16" x14ac:dyDescent="0.2">
      <c r="A155" s="68">
        <v>3</v>
      </c>
      <c r="B155" s="349">
        <f>'Client 3'!T13</f>
        <v>0</v>
      </c>
      <c r="C155" s="2">
        <f>'Client 3'!U13</f>
        <v>0</v>
      </c>
      <c r="D155" s="2">
        <f>'Client 3'!V13</f>
        <v>0</v>
      </c>
      <c r="E155" s="2">
        <f>'Client 3'!W13</f>
        <v>0</v>
      </c>
      <c r="F155" s="350">
        <f>'Client 3'!X13</f>
        <v>0</v>
      </c>
      <c r="G155" s="2">
        <f>'Client 3'!Y13</f>
        <v>0</v>
      </c>
      <c r="H155" s="2">
        <f>'Client 3'!Z13</f>
        <v>0</v>
      </c>
      <c r="I155" s="2">
        <f>'Client 3'!AA13</f>
        <v>0</v>
      </c>
      <c r="J155" s="2">
        <f>'Client 3'!AB13</f>
        <v>0</v>
      </c>
      <c r="K155" s="2">
        <f>'Client 3'!AC13</f>
        <v>0</v>
      </c>
      <c r="L155" s="2" cm="1">
        <f t="array" aca="1" ref="L155" ca="1">IF(B155=0,0,INDIRECT("MRN_"&amp;A155))</f>
        <v>0</v>
      </c>
      <c r="M155" s="2">
        <f t="shared" si="51"/>
        <v>0</v>
      </c>
      <c r="N155" s="2" t="str">
        <f t="shared" si="52"/>
        <v>No</v>
      </c>
      <c r="O155" s="2" t="str">
        <f t="shared" si="53"/>
        <v>No</v>
      </c>
      <c r="P155" s="2" t="str" cm="1">
        <f t="array" aca="1" ref="P155" ca="1">IF(OR(INDIRECT("MRN_"&amp;A155)="N/A",B155=0),"No","Yes")</f>
        <v>No</v>
      </c>
    </row>
    <row r="156" spans="1:16" x14ac:dyDescent="0.2">
      <c r="A156" s="68">
        <v>3</v>
      </c>
      <c r="B156" s="349">
        <f>'Client 3'!T14</f>
        <v>0</v>
      </c>
      <c r="C156" s="2">
        <f>'Client 3'!U14</f>
        <v>0</v>
      </c>
      <c r="D156" s="2">
        <f>'Client 3'!V14</f>
        <v>0</v>
      </c>
      <c r="E156" s="2">
        <f>'Client 3'!W14</f>
        <v>0</v>
      </c>
      <c r="F156" s="350">
        <f>'Client 3'!X14</f>
        <v>0</v>
      </c>
      <c r="G156" s="2">
        <f>'Client 3'!Y14</f>
        <v>0</v>
      </c>
      <c r="H156" s="2">
        <f>'Client 3'!Z14</f>
        <v>0</v>
      </c>
      <c r="I156" s="2">
        <f>'Client 3'!AA14</f>
        <v>0</v>
      </c>
      <c r="J156" s="2">
        <f>'Client 3'!AB14</f>
        <v>0</v>
      </c>
      <c r="K156" s="2">
        <f>'Client 3'!AC14</f>
        <v>0</v>
      </c>
      <c r="L156" s="2" cm="1">
        <f t="array" aca="1" ref="L156" ca="1">IF(B156=0,0,INDIRECT("MRN_"&amp;A156))</f>
        <v>0</v>
      </c>
      <c r="M156" s="2">
        <f t="shared" ref="M156:M219" si="78">IF(B156=0,0,"Client_"&amp;A156)</f>
        <v>0</v>
      </c>
      <c r="N156" s="2" t="str">
        <f t="shared" ref="N156:N219" si="79">IF(J156=0,"No","Yes")</f>
        <v>No</v>
      </c>
      <c r="O156" s="2" t="str">
        <f t="shared" ref="O156:O219" si="80">IF(I156=0,"No","Yes")</f>
        <v>No</v>
      </c>
      <c r="P156" s="2" t="str" cm="1">
        <f t="array" aca="1" ref="P156" ca="1">IF(OR(INDIRECT("MRN_"&amp;A156)="N/A",B156=0),"No","Yes")</f>
        <v>No</v>
      </c>
    </row>
    <row r="157" spans="1:16" x14ac:dyDescent="0.2">
      <c r="A157" s="68">
        <v>3</v>
      </c>
      <c r="B157" s="349">
        <f>'Client 3'!T15</f>
        <v>0</v>
      </c>
      <c r="C157" s="2">
        <f>'Client 3'!U15</f>
        <v>0</v>
      </c>
      <c r="D157" s="2">
        <f>'Client 3'!V15</f>
        <v>0</v>
      </c>
      <c r="E157" s="2">
        <f>'Client 3'!W15</f>
        <v>0</v>
      </c>
      <c r="F157" s="350">
        <f>'Client 3'!X15</f>
        <v>0</v>
      </c>
      <c r="G157" s="2">
        <f>'Client 3'!Y15</f>
        <v>0</v>
      </c>
      <c r="H157" s="2">
        <f>'Client 3'!Z15</f>
        <v>0</v>
      </c>
      <c r="I157" s="2">
        <f>'Client 3'!AA15</f>
        <v>0</v>
      </c>
      <c r="J157" s="2">
        <f>'Client 3'!AB15</f>
        <v>0</v>
      </c>
      <c r="K157" s="2">
        <f>'Client 3'!AC15</f>
        <v>0</v>
      </c>
      <c r="L157" s="2" cm="1">
        <f t="array" aca="1" ref="L157" ca="1">IF(B157=0,0,INDIRECT("MRN_"&amp;A157))</f>
        <v>0</v>
      </c>
      <c r="M157" s="2">
        <f t="shared" si="78"/>
        <v>0</v>
      </c>
      <c r="N157" s="2" t="str">
        <f t="shared" si="79"/>
        <v>No</v>
      </c>
      <c r="O157" s="2" t="str">
        <f t="shared" si="80"/>
        <v>No</v>
      </c>
      <c r="P157" s="2" t="str" cm="1">
        <f t="array" aca="1" ref="P157" ca="1">IF(OR(INDIRECT("MRN_"&amp;A157)="N/A",B157=0),"No","Yes")</f>
        <v>No</v>
      </c>
    </row>
    <row r="158" spans="1:16" x14ac:dyDescent="0.2">
      <c r="A158" s="68">
        <v>3</v>
      </c>
      <c r="B158" s="349">
        <f>'Client 3'!T16</f>
        <v>0</v>
      </c>
      <c r="C158" s="2">
        <f>'Client 3'!U16</f>
        <v>0</v>
      </c>
      <c r="D158" s="2">
        <f>'Client 3'!V16</f>
        <v>0</v>
      </c>
      <c r="E158" s="2">
        <f>'Client 3'!W16</f>
        <v>0</v>
      </c>
      <c r="F158" s="350">
        <f>'Client 3'!X16</f>
        <v>0</v>
      </c>
      <c r="G158" s="2">
        <f>'Client 3'!Y16</f>
        <v>0</v>
      </c>
      <c r="H158" s="2">
        <f>'Client 3'!Z16</f>
        <v>0</v>
      </c>
      <c r="I158" s="2">
        <f>'Client 3'!AA16</f>
        <v>0</v>
      </c>
      <c r="J158" s="2">
        <f>'Client 3'!AB16</f>
        <v>0</v>
      </c>
      <c r="K158" s="2">
        <f>'Client 3'!AC16</f>
        <v>0</v>
      </c>
      <c r="L158" s="2" cm="1">
        <f t="array" aca="1" ref="L158" ca="1">IF(B158=0,0,INDIRECT("MRN_"&amp;A158))</f>
        <v>0</v>
      </c>
      <c r="M158" s="2">
        <f t="shared" si="78"/>
        <v>0</v>
      </c>
      <c r="N158" s="2" t="str">
        <f t="shared" si="79"/>
        <v>No</v>
      </c>
      <c r="O158" s="2" t="str">
        <f t="shared" si="80"/>
        <v>No</v>
      </c>
      <c r="P158" s="2" t="str" cm="1">
        <f t="array" aca="1" ref="P158" ca="1">IF(OR(INDIRECT("MRN_"&amp;A158)="N/A",B158=0),"No","Yes")</f>
        <v>No</v>
      </c>
    </row>
    <row r="159" spans="1:16" x14ac:dyDescent="0.2">
      <c r="A159" s="68">
        <v>3</v>
      </c>
      <c r="B159" s="349">
        <f>'Client 3'!T17</f>
        <v>0</v>
      </c>
      <c r="C159" s="2">
        <f>'Client 3'!U17</f>
        <v>0</v>
      </c>
      <c r="D159" s="2">
        <f>'Client 3'!V17</f>
        <v>0</v>
      </c>
      <c r="E159" s="2">
        <f>'Client 3'!W17</f>
        <v>0</v>
      </c>
      <c r="F159" s="350">
        <f>'Client 3'!X17</f>
        <v>0</v>
      </c>
      <c r="G159" s="2">
        <f>'Client 3'!Y17</f>
        <v>0</v>
      </c>
      <c r="H159" s="2">
        <f>'Client 3'!Z17</f>
        <v>0</v>
      </c>
      <c r="I159" s="2">
        <f>'Client 3'!AA17</f>
        <v>0</v>
      </c>
      <c r="J159" s="2">
        <f>'Client 3'!AB17</f>
        <v>0</v>
      </c>
      <c r="K159" s="2">
        <f>'Client 3'!AC17</f>
        <v>0</v>
      </c>
      <c r="L159" s="2" cm="1">
        <f t="array" aca="1" ref="L159" ca="1">IF(B159=0,0,INDIRECT("MRN_"&amp;A159))</f>
        <v>0</v>
      </c>
      <c r="M159" s="2">
        <f t="shared" si="78"/>
        <v>0</v>
      </c>
      <c r="N159" s="2" t="str">
        <f t="shared" si="79"/>
        <v>No</v>
      </c>
      <c r="O159" s="2" t="str">
        <f t="shared" si="80"/>
        <v>No</v>
      </c>
      <c r="P159" s="2" t="str" cm="1">
        <f t="array" aca="1" ref="P159" ca="1">IF(OR(INDIRECT("MRN_"&amp;A159)="N/A",B159=0),"No","Yes")</f>
        <v>No</v>
      </c>
    </row>
    <row r="160" spans="1:16" x14ac:dyDescent="0.2">
      <c r="A160" s="68">
        <v>3</v>
      </c>
      <c r="B160" s="349">
        <f>'Client 3'!T18</f>
        <v>0</v>
      </c>
      <c r="C160" s="2">
        <f>'Client 3'!U18</f>
        <v>0</v>
      </c>
      <c r="D160" s="2">
        <f>'Client 3'!V18</f>
        <v>0</v>
      </c>
      <c r="E160" s="2">
        <f>'Client 3'!W18</f>
        <v>0</v>
      </c>
      <c r="F160" s="350">
        <f>'Client 3'!X18</f>
        <v>0</v>
      </c>
      <c r="G160" s="2">
        <f>'Client 3'!Y18</f>
        <v>0</v>
      </c>
      <c r="H160" s="2">
        <f>'Client 3'!Z18</f>
        <v>0</v>
      </c>
      <c r="I160" s="2">
        <f>'Client 3'!AA18</f>
        <v>0</v>
      </c>
      <c r="J160" s="2">
        <f>'Client 3'!AB18</f>
        <v>0</v>
      </c>
      <c r="K160" s="2">
        <f>'Client 3'!AC18</f>
        <v>0</v>
      </c>
      <c r="L160" s="2" cm="1">
        <f t="array" aca="1" ref="L160" ca="1">IF(B160=0,0,INDIRECT("MRN_"&amp;A160))</f>
        <v>0</v>
      </c>
      <c r="M160" s="2">
        <f t="shared" si="78"/>
        <v>0</v>
      </c>
      <c r="N160" s="2" t="str">
        <f t="shared" si="79"/>
        <v>No</v>
      </c>
      <c r="O160" s="2" t="str">
        <f t="shared" si="80"/>
        <v>No</v>
      </c>
      <c r="P160" s="2" t="str" cm="1">
        <f t="array" aca="1" ref="P160" ca="1">IF(OR(INDIRECT("MRN_"&amp;A160)="N/A",B160=0),"No","Yes")</f>
        <v>No</v>
      </c>
    </row>
    <row r="161" spans="1:16" x14ac:dyDescent="0.2">
      <c r="A161" s="68">
        <v>3</v>
      </c>
      <c r="B161" s="349">
        <f>'Client 3'!T19</f>
        <v>0</v>
      </c>
      <c r="C161" s="2">
        <f>'Client 3'!U19</f>
        <v>0</v>
      </c>
      <c r="D161" s="2">
        <f>'Client 3'!V19</f>
        <v>0</v>
      </c>
      <c r="E161" s="2">
        <f>'Client 3'!W19</f>
        <v>0</v>
      </c>
      <c r="F161" s="350">
        <f>'Client 3'!X19</f>
        <v>0</v>
      </c>
      <c r="G161" s="2">
        <f>'Client 3'!Y19</f>
        <v>0</v>
      </c>
      <c r="H161" s="2">
        <f>'Client 3'!Z19</f>
        <v>0</v>
      </c>
      <c r="I161" s="2">
        <f>'Client 3'!AA19</f>
        <v>0</v>
      </c>
      <c r="J161" s="2">
        <f>'Client 3'!AB19</f>
        <v>0</v>
      </c>
      <c r="K161" s="2">
        <f>'Client 3'!AC19</f>
        <v>0</v>
      </c>
      <c r="L161" s="2" cm="1">
        <f t="array" aca="1" ref="L161" ca="1">IF(B161=0,0,INDIRECT("MRN_"&amp;A161))</f>
        <v>0</v>
      </c>
      <c r="M161" s="2">
        <f t="shared" si="78"/>
        <v>0</v>
      </c>
      <c r="N161" s="2" t="str">
        <f t="shared" si="79"/>
        <v>No</v>
      </c>
      <c r="O161" s="2" t="str">
        <f t="shared" si="80"/>
        <v>No</v>
      </c>
      <c r="P161" s="2" t="str" cm="1">
        <f t="array" aca="1" ref="P161" ca="1">IF(OR(INDIRECT("MRN_"&amp;A161)="N/A",B161=0),"No","Yes")</f>
        <v>No</v>
      </c>
    </row>
    <row r="162" spans="1:16" x14ac:dyDescent="0.2">
      <c r="A162" s="68">
        <v>3</v>
      </c>
      <c r="B162" s="349">
        <f>'Client 3'!T20</f>
        <v>0</v>
      </c>
      <c r="C162" s="2">
        <f>'Client 3'!U20</f>
        <v>0</v>
      </c>
      <c r="D162" s="2">
        <f>'Client 3'!V20</f>
        <v>0</v>
      </c>
      <c r="E162" s="2">
        <f>'Client 3'!W20</f>
        <v>0</v>
      </c>
      <c r="F162" s="350">
        <f>'Client 3'!X20</f>
        <v>0</v>
      </c>
      <c r="G162" s="2">
        <f>'Client 3'!Y20</f>
        <v>0</v>
      </c>
      <c r="H162" s="2">
        <f>'Client 3'!Z20</f>
        <v>0</v>
      </c>
      <c r="I162" s="2">
        <f>'Client 3'!AA20</f>
        <v>0</v>
      </c>
      <c r="J162" s="2">
        <f>'Client 3'!AB20</f>
        <v>0</v>
      </c>
      <c r="K162" s="2">
        <f>'Client 3'!AC20</f>
        <v>0</v>
      </c>
      <c r="L162" s="2" cm="1">
        <f t="array" aca="1" ref="L162" ca="1">IF(B162=0,0,INDIRECT("MRN_"&amp;A162))</f>
        <v>0</v>
      </c>
      <c r="M162" s="2">
        <f t="shared" si="78"/>
        <v>0</v>
      </c>
      <c r="N162" s="2" t="str">
        <f t="shared" si="79"/>
        <v>No</v>
      </c>
      <c r="O162" s="2" t="str">
        <f t="shared" si="80"/>
        <v>No</v>
      </c>
      <c r="P162" s="2" t="str" cm="1">
        <f t="array" aca="1" ref="P162" ca="1">IF(OR(INDIRECT("MRN_"&amp;A162)="N/A",B162=0),"No","Yes")</f>
        <v>No</v>
      </c>
    </row>
    <row r="163" spans="1:16" x14ac:dyDescent="0.2">
      <c r="A163" s="68">
        <v>3</v>
      </c>
      <c r="B163" s="349">
        <f>'Client 3'!T21</f>
        <v>0</v>
      </c>
      <c r="C163" s="2">
        <f>'Client 3'!U21</f>
        <v>0</v>
      </c>
      <c r="D163" s="2">
        <f>'Client 3'!V21</f>
        <v>0</v>
      </c>
      <c r="E163" s="2">
        <f>'Client 3'!W21</f>
        <v>0</v>
      </c>
      <c r="F163" s="350">
        <f>'Client 3'!X21</f>
        <v>0</v>
      </c>
      <c r="G163" s="2">
        <f>'Client 3'!Y21</f>
        <v>0</v>
      </c>
      <c r="H163" s="2">
        <f>'Client 3'!Z21</f>
        <v>0</v>
      </c>
      <c r="I163" s="2">
        <f>'Client 3'!AA21</f>
        <v>0</v>
      </c>
      <c r="J163" s="2">
        <f>'Client 3'!AB21</f>
        <v>0</v>
      </c>
      <c r="K163" s="2">
        <f>'Client 3'!AC21</f>
        <v>0</v>
      </c>
      <c r="L163" s="2" cm="1">
        <f t="array" aca="1" ref="L163" ca="1">IF(B163=0,0,INDIRECT("MRN_"&amp;A163))</f>
        <v>0</v>
      </c>
      <c r="M163" s="2">
        <f t="shared" si="78"/>
        <v>0</v>
      </c>
      <c r="N163" s="2" t="str">
        <f t="shared" si="79"/>
        <v>No</v>
      </c>
      <c r="O163" s="2" t="str">
        <f t="shared" si="80"/>
        <v>No</v>
      </c>
      <c r="P163" s="2" t="str" cm="1">
        <f t="array" aca="1" ref="P163" ca="1">IF(OR(INDIRECT("MRN_"&amp;A163)="N/A",B163=0),"No","Yes")</f>
        <v>No</v>
      </c>
    </row>
    <row r="164" spans="1:16" x14ac:dyDescent="0.2">
      <c r="A164" s="68">
        <v>3</v>
      </c>
      <c r="B164" s="349">
        <f>'Client 3'!T22</f>
        <v>0</v>
      </c>
      <c r="C164" s="2">
        <f>'Client 3'!U22</f>
        <v>0</v>
      </c>
      <c r="D164" s="2">
        <f>'Client 3'!V22</f>
        <v>0</v>
      </c>
      <c r="E164" s="2">
        <f>'Client 3'!W22</f>
        <v>0</v>
      </c>
      <c r="F164" s="350">
        <f>'Client 3'!X22</f>
        <v>0</v>
      </c>
      <c r="G164" s="2">
        <f>'Client 3'!Y22</f>
        <v>0</v>
      </c>
      <c r="H164" s="2">
        <f>'Client 3'!Z22</f>
        <v>0</v>
      </c>
      <c r="I164" s="2">
        <f>'Client 3'!AA22</f>
        <v>0</v>
      </c>
      <c r="J164" s="2">
        <f>'Client 3'!AB22</f>
        <v>0</v>
      </c>
      <c r="K164" s="2">
        <f>'Client 3'!AC22</f>
        <v>0</v>
      </c>
      <c r="L164" s="2" cm="1">
        <f t="array" aca="1" ref="L164" ca="1">IF(B164=0,0,INDIRECT("MRN_"&amp;A164))</f>
        <v>0</v>
      </c>
      <c r="M164" s="2">
        <f t="shared" si="78"/>
        <v>0</v>
      </c>
      <c r="N164" s="2" t="str">
        <f t="shared" si="79"/>
        <v>No</v>
      </c>
      <c r="O164" s="2" t="str">
        <f t="shared" si="80"/>
        <v>No</v>
      </c>
      <c r="P164" s="2" t="str" cm="1">
        <f t="array" aca="1" ref="P164" ca="1">IF(OR(INDIRECT("MRN_"&amp;A164)="N/A",B164=0),"No","Yes")</f>
        <v>No</v>
      </c>
    </row>
    <row r="165" spans="1:16" x14ac:dyDescent="0.2">
      <c r="A165" s="68">
        <v>3</v>
      </c>
      <c r="B165" s="349">
        <f>'Client 3'!T23</f>
        <v>0</v>
      </c>
      <c r="C165" s="2">
        <f>'Client 3'!U23</f>
        <v>0</v>
      </c>
      <c r="D165" s="2">
        <f>'Client 3'!V23</f>
        <v>0</v>
      </c>
      <c r="E165" s="2">
        <f>'Client 3'!W23</f>
        <v>0</v>
      </c>
      <c r="F165" s="350">
        <f>'Client 3'!X23</f>
        <v>0</v>
      </c>
      <c r="G165" s="2">
        <f>'Client 3'!Y23</f>
        <v>0</v>
      </c>
      <c r="H165" s="2">
        <f>'Client 3'!Z23</f>
        <v>0</v>
      </c>
      <c r="I165" s="2">
        <f>'Client 3'!AA23</f>
        <v>0</v>
      </c>
      <c r="J165" s="2">
        <f>'Client 3'!AB23</f>
        <v>0</v>
      </c>
      <c r="K165" s="2">
        <f>'Client 3'!AC23</f>
        <v>0</v>
      </c>
      <c r="L165" s="2" cm="1">
        <f t="array" aca="1" ref="L165" ca="1">IF(B165=0,0,INDIRECT("MRN_"&amp;A165))</f>
        <v>0</v>
      </c>
      <c r="M165" s="2">
        <f t="shared" si="78"/>
        <v>0</v>
      </c>
      <c r="N165" s="2" t="str">
        <f t="shared" si="79"/>
        <v>No</v>
      </c>
      <c r="O165" s="2" t="str">
        <f t="shared" si="80"/>
        <v>No</v>
      </c>
      <c r="P165" s="2" t="str" cm="1">
        <f t="array" aca="1" ref="P165" ca="1">IF(OR(INDIRECT("MRN_"&amp;A165)="N/A",B165=0),"No","Yes")</f>
        <v>No</v>
      </c>
    </row>
    <row r="166" spans="1:16" x14ac:dyDescent="0.2">
      <c r="A166" s="68">
        <v>3</v>
      </c>
      <c r="B166" s="349">
        <f>'Client 3'!T24</f>
        <v>0</v>
      </c>
      <c r="C166" s="2">
        <f>'Client 3'!U24</f>
        <v>0</v>
      </c>
      <c r="D166" s="2">
        <f>'Client 3'!V24</f>
        <v>0</v>
      </c>
      <c r="E166" s="2">
        <f>'Client 3'!W24</f>
        <v>0</v>
      </c>
      <c r="F166" s="350">
        <f>'Client 3'!X24</f>
        <v>0</v>
      </c>
      <c r="G166" s="2">
        <f>'Client 3'!Y24</f>
        <v>0</v>
      </c>
      <c r="H166" s="2">
        <f>'Client 3'!Z24</f>
        <v>0</v>
      </c>
      <c r="I166" s="2">
        <f>'Client 3'!AA24</f>
        <v>0</v>
      </c>
      <c r="J166" s="2">
        <f>'Client 3'!AB24</f>
        <v>0</v>
      </c>
      <c r="K166" s="2">
        <f>'Client 3'!AC24</f>
        <v>0</v>
      </c>
      <c r="L166" s="2" cm="1">
        <f t="array" aca="1" ref="L166" ca="1">IF(B166=0,0,INDIRECT("MRN_"&amp;A166))</f>
        <v>0</v>
      </c>
      <c r="M166" s="2">
        <f t="shared" si="78"/>
        <v>0</v>
      </c>
      <c r="N166" s="2" t="str">
        <f t="shared" si="79"/>
        <v>No</v>
      </c>
      <c r="O166" s="2" t="str">
        <f t="shared" si="80"/>
        <v>No</v>
      </c>
      <c r="P166" s="2" t="str" cm="1">
        <f t="array" aca="1" ref="P166" ca="1">IF(OR(INDIRECT("MRN_"&amp;A166)="N/A",B166=0),"No","Yes")</f>
        <v>No</v>
      </c>
    </row>
    <row r="167" spans="1:16" x14ac:dyDescent="0.2">
      <c r="A167" s="68">
        <v>3</v>
      </c>
      <c r="B167" s="349">
        <f>'Client 3'!T25</f>
        <v>0</v>
      </c>
      <c r="C167" s="2">
        <f>'Client 3'!U25</f>
        <v>0</v>
      </c>
      <c r="D167" s="2">
        <f>'Client 3'!V25</f>
        <v>0</v>
      </c>
      <c r="E167" s="2">
        <f>'Client 3'!W25</f>
        <v>0</v>
      </c>
      <c r="F167" s="350">
        <f>'Client 3'!X25</f>
        <v>0</v>
      </c>
      <c r="G167" s="2">
        <f>'Client 3'!Y25</f>
        <v>0</v>
      </c>
      <c r="H167" s="2">
        <f>'Client 3'!Z25</f>
        <v>0</v>
      </c>
      <c r="I167" s="2">
        <f>'Client 3'!AA25</f>
        <v>0</v>
      </c>
      <c r="J167" s="2">
        <f>'Client 3'!AB25</f>
        <v>0</v>
      </c>
      <c r="K167" s="2">
        <f>'Client 3'!AC25</f>
        <v>0</v>
      </c>
      <c r="L167" s="2" cm="1">
        <f t="array" aca="1" ref="L167" ca="1">IF(B167=0,0,INDIRECT("MRN_"&amp;A167))</f>
        <v>0</v>
      </c>
      <c r="M167" s="2">
        <f t="shared" si="78"/>
        <v>0</v>
      </c>
      <c r="N167" s="2" t="str">
        <f t="shared" si="79"/>
        <v>No</v>
      </c>
      <c r="O167" s="2" t="str">
        <f t="shared" si="80"/>
        <v>No</v>
      </c>
      <c r="P167" s="2" t="str" cm="1">
        <f t="array" aca="1" ref="P167" ca="1">IF(OR(INDIRECT("MRN_"&amp;A167)="N/A",B167=0),"No","Yes")</f>
        <v>No</v>
      </c>
    </row>
    <row r="168" spans="1:16" x14ac:dyDescent="0.2">
      <c r="A168" s="68">
        <v>3</v>
      </c>
      <c r="B168" s="349">
        <f>'Client 3'!T26</f>
        <v>0</v>
      </c>
      <c r="C168" s="2">
        <f>'Client 3'!U26</f>
        <v>0</v>
      </c>
      <c r="D168" s="2">
        <f>'Client 3'!V26</f>
        <v>0</v>
      </c>
      <c r="E168" s="2">
        <f>'Client 3'!W26</f>
        <v>0</v>
      </c>
      <c r="F168" s="350">
        <f>'Client 3'!X26</f>
        <v>0</v>
      </c>
      <c r="G168" s="2">
        <f>'Client 3'!Y26</f>
        <v>0</v>
      </c>
      <c r="H168" s="2">
        <f>'Client 3'!Z26</f>
        <v>0</v>
      </c>
      <c r="I168" s="2">
        <f>'Client 3'!AA26</f>
        <v>0</v>
      </c>
      <c r="J168" s="2">
        <f>'Client 3'!AB26</f>
        <v>0</v>
      </c>
      <c r="K168" s="2">
        <f>'Client 3'!AC26</f>
        <v>0</v>
      </c>
      <c r="L168" s="2" cm="1">
        <f t="array" aca="1" ref="L168" ca="1">IF(B168=0,0,INDIRECT("MRN_"&amp;A168))</f>
        <v>0</v>
      </c>
      <c r="M168" s="2">
        <f t="shared" si="78"/>
        <v>0</v>
      </c>
      <c r="N168" s="2" t="str">
        <f t="shared" si="79"/>
        <v>No</v>
      </c>
      <c r="O168" s="2" t="str">
        <f t="shared" si="80"/>
        <v>No</v>
      </c>
      <c r="P168" s="2" t="str" cm="1">
        <f t="array" aca="1" ref="P168" ca="1">IF(OR(INDIRECT("MRN_"&amp;A168)="N/A",B168=0),"No","Yes")</f>
        <v>No</v>
      </c>
    </row>
    <row r="169" spans="1:16" x14ac:dyDescent="0.2">
      <c r="A169" s="68">
        <v>3</v>
      </c>
      <c r="B169" s="349">
        <f>'Client 3'!T27</f>
        <v>0</v>
      </c>
      <c r="C169" s="2">
        <f>'Client 3'!U27</f>
        <v>0</v>
      </c>
      <c r="D169" s="2">
        <f>'Client 3'!V27</f>
        <v>0</v>
      </c>
      <c r="E169" s="2">
        <f>'Client 3'!W27</f>
        <v>0</v>
      </c>
      <c r="F169" s="350">
        <f>'Client 3'!X27</f>
        <v>0</v>
      </c>
      <c r="G169" s="2">
        <f>'Client 3'!Y27</f>
        <v>0</v>
      </c>
      <c r="H169" s="2">
        <f>'Client 3'!Z27</f>
        <v>0</v>
      </c>
      <c r="I169" s="2">
        <f>'Client 3'!AA27</f>
        <v>0</v>
      </c>
      <c r="J169" s="2">
        <f>'Client 3'!AB27</f>
        <v>0</v>
      </c>
      <c r="K169" s="2">
        <f>'Client 3'!AC27</f>
        <v>0</v>
      </c>
      <c r="L169" s="2" cm="1">
        <f t="array" aca="1" ref="L169" ca="1">IF(B169=0,0,INDIRECT("MRN_"&amp;A169))</f>
        <v>0</v>
      </c>
      <c r="M169" s="2">
        <f t="shared" si="78"/>
        <v>0</v>
      </c>
      <c r="N169" s="2" t="str">
        <f t="shared" si="79"/>
        <v>No</v>
      </c>
      <c r="O169" s="2" t="str">
        <f t="shared" si="80"/>
        <v>No</v>
      </c>
      <c r="P169" s="2" t="str" cm="1">
        <f t="array" aca="1" ref="P169" ca="1">IF(OR(INDIRECT("MRN_"&amp;A169)="N/A",B169=0),"No","Yes")</f>
        <v>No</v>
      </c>
    </row>
    <row r="170" spans="1:16" x14ac:dyDescent="0.2">
      <c r="A170" s="68">
        <v>3</v>
      </c>
      <c r="B170" s="349">
        <f>'Client 3'!T28</f>
        <v>0</v>
      </c>
      <c r="C170" s="2">
        <f>'Client 3'!U28</f>
        <v>0</v>
      </c>
      <c r="D170" s="2">
        <f>'Client 3'!V28</f>
        <v>0</v>
      </c>
      <c r="E170" s="2">
        <f>'Client 3'!W28</f>
        <v>0</v>
      </c>
      <c r="F170" s="350">
        <f>'Client 3'!X28</f>
        <v>0</v>
      </c>
      <c r="G170" s="2">
        <f>'Client 3'!Y28</f>
        <v>0</v>
      </c>
      <c r="H170" s="2">
        <f>'Client 3'!Z28</f>
        <v>0</v>
      </c>
      <c r="I170" s="2">
        <f>'Client 3'!AA28</f>
        <v>0</v>
      </c>
      <c r="J170" s="2">
        <f>'Client 3'!AB28</f>
        <v>0</v>
      </c>
      <c r="K170" s="2">
        <f>'Client 3'!AC28</f>
        <v>0</v>
      </c>
      <c r="L170" s="2" cm="1">
        <f t="array" aca="1" ref="L170" ca="1">IF(B170=0,0,INDIRECT("MRN_"&amp;A170))</f>
        <v>0</v>
      </c>
      <c r="M170" s="2">
        <f t="shared" si="78"/>
        <v>0</v>
      </c>
      <c r="N170" s="2" t="str">
        <f t="shared" si="79"/>
        <v>No</v>
      </c>
      <c r="O170" s="2" t="str">
        <f t="shared" si="80"/>
        <v>No</v>
      </c>
      <c r="P170" s="2" t="str" cm="1">
        <f t="array" aca="1" ref="P170" ca="1">IF(OR(INDIRECT("MRN_"&amp;A170)="N/A",B170=0),"No","Yes")</f>
        <v>No</v>
      </c>
    </row>
    <row r="171" spans="1:16" x14ac:dyDescent="0.2">
      <c r="A171" s="68">
        <v>3</v>
      </c>
      <c r="B171" s="349">
        <f>'Client 3'!T29</f>
        <v>0</v>
      </c>
      <c r="C171" s="2">
        <f>'Client 3'!U29</f>
        <v>0</v>
      </c>
      <c r="D171" s="2">
        <f>'Client 3'!V29</f>
        <v>0</v>
      </c>
      <c r="E171" s="2">
        <f>'Client 3'!W29</f>
        <v>0</v>
      </c>
      <c r="F171" s="350">
        <f>'Client 3'!X29</f>
        <v>0</v>
      </c>
      <c r="G171" s="2">
        <f>'Client 3'!Y29</f>
        <v>0</v>
      </c>
      <c r="H171" s="2">
        <f>'Client 3'!Z29</f>
        <v>0</v>
      </c>
      <c r="I171" s="2">
        <f>'Client 3'!AA29</f>
        <v>0</v>
      </c>
      <c r="J171" s="2">
        <f>'Client 3'!AB29</f>
        <v>0</v>
      </c>
      <c r="K171" s="2">
        <f>'Client 3'!AC29</f>
        <v>0</v>
      </c>
      <c r="L171" s="2" cm="1">
        <f t="array" aca="1" ref="L171" ca="1">IF(B171=0,0,INDIRECT("MRN_"&amp;A171))</f>
        <v>0</v>
      </c>
      <c r="M171" s="2">
        <f t="shared" si="78"/>
        <v>0</v>
      </c>
      <c r="N171" s="2" t="str">
        <f t="shared" si="79"/>
        <v>No</v>
      </c>
      <c r="O171" s="2" t="str">
        <f t="shared" si="80"/>
        <v>No</v>
      </c>
      <c r="P171" s="2" t="str" cm="1">
        <f t="array" aca="1" ref="P171" ca="1">IF(OR(INDIRECT("MRN_"&amp;A171)="N/A",B171=0),"No","Yes")</f>
        <v>No</v>
      </c>
    </row>
    <row r="172" spans="1:16" x14ac:dyDescent="0.2">
      <c r="A172" s="68">
        <v>3</v>
      </c>
      <c r="B172" s="349">
        <f>'Client 3'!T30</f>
        <v>0</v>
      </c>
      <c r="C172" s="2">
        <f>'Client 3'!U30</f>
        <v>0</v>
      </c>
      <c r="D172" s="2">
        <f>'Client 3'!V30</f>
        <v>0</v>
      </c>
      <c r="E172" s="2">
        <f>'Client 3'!W30</f>
        <v>0</v>
      </c>
      <c r="F172" s="350">
        <f>'Client 3'!X30</f>
        <v>0</v>
      </c>
      <c r="G172" s="2">
        <f>'Client 3'!Y30</f>
        <v>0</v>
      </c>
      <c r="H172" s="2">
        <f>'Client 3'!Z30</f>
        <v>0</v>
      </c>
      <c r="I172" s="2">
        <f>'Client 3'!AA30</f>
        <v>0</v>
      </c>
      <c r="J172" s="2">
        <f>'Client 3'!AB30</f>
        <v>0</v>
      </c>
      <c r="K172" s="2">
        <f>'Client 3'!AC30</f>
        <v>0</v>
      </c>
      <c r="L172" s="2" cm="1">
        <f t="array" aca="1" ref="L172" ca="1">IF(B172=0,0,INDIRECT("MRN_"&amp;A172))</f>
        <v>0</v>
      </c>
      <c r="M172" s="2">
        <f t="shared" si="78"/>
        <v>0</v>
      </c>
      <c r="N172" s="2" t="str">
        <f t="shared" si="79"/>
        <v>No</v>
      </c>
      <c r="O172" s="2" t="str">
        <f t="shared" si="80"/>
        <v>No</v>
      </c>
      <c r="P172" s="2" t="str" cm="1">
        <f t="array" aca="1" ref="P172" ca="1">IF(OR(INDIRECT("MRN_"&amp;A172)="N/A",B172=0),"No","Yes")</f>
        <v>No</v>
      </c>
    </row>
    <row r="173" spans="1:16" x14ac:dyDescent="0.2">
      <c r="A173" s="68">
        <v>3</v>
      </c>
      <c r="B173" s="349">
        <f>'Client 3'!T31</f>
        <v>0</v>
      </c>
      <c r="C173" s="2">
        <f>'Client 3'!U31</f>
        <v>0</v>
      </c>
      <c r="D173" s="2">
        <f>'Client 3'!V31</f>
        <v>0</v>
      </c>
      <c r="E173" s="2">
        <f>'Client 3'!W31</f>
        <v>0</v>
      </c>
      <c r="F173" s="350">
        <f>'Client 3'!X31</f>
        <v>0</v>
      </c>
      <c r="G173" s="2">
        <f>'Client 3'!Y31</f>
        <v>0</v>
      </c>
      <c r="H173" s="2">
        <f>'Client 3'!Z31</f>
        <v>0</v>
      </c>
      <c r="I173" s="2">
        <f>'Client 3'!AA31</f>
        <v>0</v>
      </c>
      <c r="J173" s="2">
        <f>'Client 3'!AB31</f>
        <v>0</v>
      </c>
      <c r="K173" s="2">
        <f>'Client 3'!AC31</f>
        <v>0</v>
      </c>
      <c r="L173" s="2" cm="1">
        <f t="array" aca="1" ref="L173" ca="1">IF(B173=0,0,INDIRECT("MRN_"&amp;A173))</f>
        <v>0</v>
      </c>
      <c r="M173" s="2">
        <f t="shared" si="78"/>
        <v>0</v>
      </c>
      <c r="N173" s="2" t="str">
        <f t="shared" si="79"/>
        <v>No</v>
      </c>
      <c r="O173" s="2" t="str">
        <f t="shared" si="80"/>
        <v>No</v>
      </c>
      <c r="P173" s="2" t="str" cm="1">
        <f t="array" aca="1" ref="P173" ca="1">IF(OR(INDIRECT("MRN_"&amp;A173)="N/A",B173=0),"No","Yes")</f>
        <v>No</v>
      </c>
    </row>
    <row r="174" spans="1:16" x14ac:dyDescent="0.2">
      <c r="A174" s="68">
        <v>3</v>
      </c>
      <c r="B174" s="349">
        <f>'Client 3'!T32</f>
        <v>0</v>
      </c>
      <c r="C174" s="2">
        <f>'Client 3'!U32</f>
        <v>0</v>
      </c>
      <c r="D174" s="2">
        <f>'Client 3'!V32</f>
        <v>0</v>
      </c>
      <c r="E174" s="2">
        <f>'Client 3'!W32</f>
        <v>0</v>
      </c>
      <c r="F174" s="350">
        <f>'Client 3'!X32</f>
        <v>0</v>
      </c>
      <c r="G174" s="2">
        <f>'Client 3'!Y32</f>
        <v>0</v>
      </c>
      <c r="H174" s="2">
        <f>'Client 3'!Z32</f>
        <v>0</v>
      </c>
      <c r="I174" s="2">
        <f>'Client 3'!AA32</f>
        <v>0</v>
      </c>
      <c r="J174" s="2">
        <f>'Client 3'!AB32</f>
        <v>0</v>
      </c>
      <c r="K174" s="2">
        <f>'Client 3'!AC32</f>
        <v>0</v>
      </c>
      <c r="L174" s="2" cm="1">
        <f t="array" aca="1" ref="L174" ca="1">IF(B174=0,0,INDIRECT("MRN_"&amp;A174))</f>
        <v>0</v>
      </c>
      <c r="M174" s="2">
        <f t="shared" si="78"/>
        <v>0</v>
      </c>
      <c r="N174" s="2" t="str">
        <f t="shared" si="79"/>
        <v>No</v>
      </c>
      <c r="O174" s="2" t="str">
        <f t="shared" si="80"/>
        <v>No</v>
      </c>
      <c r="P174" s="2" t="str" cm="1">
        <f t="array" aca="1" ref="P174" ca="1">IF(OR(INDIRECT("MRN_"&amp;A174)="N/A",B174=0),"No","Yes")</f>
        <v>No</v>
      </c>
    </row>
    <row r="175" spans="1:16" x14ac:dyDescent="0.2">
      <c r="A175" s="68">
        <v>3</v>
      </c>
      <c r="B175" s="349">
        <f>'Client 3'!T33</f>
        <v>0</v>
      </c>
      <c r="C175" s="2">
        <f>'Client 3'!U33</f>
        <v>0</v>
      </c>
      <c r="D175" s="2">
        <f>'Client 3'!V33</f>
        <v>0</v>
      </c>
      <c r="E175" s="2">
        <f>'Client 3'!W33</f>
        <v>0</v>
      </c>
      <c r="F175" s="350">
        <f>'Client 3'!X33</f>
        <v>0</v>
      </c>
      <c r="G175" s="2">
        <f>'Client 3'!Y33</f>
        <v>0</v>
      </c>
      <c r="H175" s="2">
        <f>'Client 3'!Z33</f>
        <v>0</v>
      </c>
      <c r="I175" s="2">
        <f>'Client 3'!AA33</f>
        <v>0</v>
      </c>
      <c r="J175" s="2">
        <f>'Client 3'!AB33</f>
        <v>0</v>
      </c>
      <c r="K175" s="2">
        <f>'Client 3'!AC33</f>
        <v>0</v>
      </c>
      <c r="L175" s="2" cm="1">
        <f t="array" aca="1" ref="L175" ca="1">IF(B175=0,0,INDIRECT("MRN_"&amp;A175))</f>
        <v>0</v>
      </c>
      <c r="M175" s="2">
        <f t="shared" si="78"/>
        <v>0</v>
      </c>
      <c r="N175" s="2" t="str">
        <f t="shared" si="79"/>
        <v>No</v>
      </c>
      <c r="O175" s="2" t="str">
        <f t="shared" si="80"/>
        <v>No</v>
      </c>
      <c r="P175" s="2" t="str" cm="1">
        <f t="array" aca="1" ref="P175" ca="1">IF(OR(INDIRECT("MRN_"&amp;A175)="N/A",B175=0),"No","Yes")</f>
        <v>No</v>
      </c>
    </row>
    <row r="176" spans="1:16" x14ac:dyDescent="0.2">
      <c r="A176" s="68">
        <v>3</v>
      </c>
      <c r="B176" s="349">
        <f>'Client 3'!T34</f>
        <v>0</v>
      </c>
      <c r="C176" s="2">
        <f>'Client 3'!U34</f>
        <v>0</v>
      </c>
      <c r="D176" s="2">
        <f>'Client 3'!V34</f>
        <v>0</v>
      </c>
      <c r="E176" s="2">
        <f>'Client 3'!W34</f>
        <v>0</v>
      </c>
      <c r="F176" s="350">
        <f>'Client 3'!X34</f>
        <v>0</v>
      </c>
      <c r="G176" s="2">
        <f>'Client 3'!Y34</f>
        <v>0</v>
      </c>
      <c r="H176" s="2">
        <f>'Client 3'!Z34</f>
        <v>0</v>
      </c>
      <c r="I176" s="2">
        <f>'Client 3'!AA34</f>
        <v>0</v>
      </c>
      <c r="J176" s="2">
        <f>'Client 3'!AB34</f>
        <v>0</v>
      </c>
      <c r="K176" s="2">
        <f>'Client 3'!AC34</f>
        <v>0</v>
      </c>
      <c r="L176" s="2" cm="1">
        <f t="array" aca="1" ref="L176" ca="1">IF(B176=0,0,INDIRECT("MRN_"&amp;A176))</f>
        <v>0</v>
      </c>
      <c r="M176" s="2">
        <f t="shared" si="78"/>
        <v>0</v>
      </c>
      <c r="N176" s="2" t="str">
        <f t="shared" si="79"/>
        <v>No</v>
      </c>
      <c r="O176" s="2" t="str">
        <f t="shared" si="80"/>
        <v>No</v>
      </c>
      <c r="P176" s="2" t="str" cm="1">
        <f t="array" aca="1" ref="P176" ca="1">IF(OR(INDIRECT("MRN_"&amp;A176)="N/A",B176=0),"No","Yes")</f>
        <v>No</v>
      </c>
    </row>
    <row r="177" spans="1:16" x14ac:dyDescent="0.2">
      <c r="A177" s="68">
        <v>3</v>
      </c>
      <c r="B177" s="349">
        <f>'Client 3'!T35</f>
        <v>0</v>
      </c>
      <c r="C177" s="2">
        <f>'Client 3'!U35</f>
        <v>0</v>
      </c>
      <c r="D177" s="2">
        <f>'Client 3'!V35</f>
        <v>0</v>
      </c>
      <c r="E177" s="2">
        <f>'Client 3'!W35</f>
        <v>0</v>
      </c>
      <c r="F177" s="350">
        <f>'Client 3'!X35</f>
        <v>0</v>
      </c>
      <c r="G177" s="2">
        <f>'Client 3'!Y35</f>
        <v>0</v>
      </c>
      <c r="H177" s="2">
        <f>'Client 3'!Z35</f>
        <v>0</v>
      </c>
      <c r="I177" s="2">
        <f>'Client 3'!AA35</f>
        <v>0</v>
      </c>
      <c r="J177" s="2">
        <f>'Client 3'!AB35</f>
        <v>0</v>
      </c>
      <c r="K177" s="2">
        <f>'Client 3'!AC35</f>
        <v>0</v>
      </c>
      <c r="L177" s="2" cm="1">
        <f t="array" aca="1" ref="L177" ca="1">IF(B177=0,0,INDIRECT("MRN_"&amp;A177))</f>
        <v>0</v>
      </c>
      <c r="M177" s="2">
        <f t="shared" si="78"/>
        <v>0</v>
      </c>
      <c r="N177" s="2" t="str">
        <f t="shared" si="79"/>
        <v>No</v>
      </c>
      <c r="O177" s="2" t="str">
        <f t="shared" si="80"/>
        <v>No</v>
      </c>
      <c r="P177" s="2" t="str" cm="1">
        <f t="array" aca="1" ref="P177" ca="1">IF(OR(INDIRECT("MRN_"&amp;A177)="N/A",B177=0),"No","Yes")</f>
        <v>No</v>
      </c>
    </row>
    <row r="178" spans="1:16" x14ac:dyDescent="0.2">
      <c r="A178" s="68">
        <v>3</v>
      </c>
      <c r="B178" s="349">
        <f>'Client 3'!T36</f>
        <v>0</v>
      </c>
      <c r="C178" s="2">
        <f>'Client 3'!U36</f>
        <v>0</v>
      </c>
      <c r="D178" s="2">
        <f>'Client 3'!V36</f>
        <v>0</v>
      </c>
      <c r="E178" s="2">
        <f>'Client 3'!W36</f>
        <v>0</v>
      </c>
      <c r="F178" s="350">
        <f>'Client 3'!X36</f>
        <v>0</v>
      </c>
      <c r="G178" s="2">
        <f>'Client 3'!Y36</f>
        <v>0</v>
      </c>
      <c r="H178" s="2">
        <f>'Client 3'!Z36</f>
        <v>0</v>
      </c>
      <c r="I178" s="2">
        <f>'Client 3'!AA36</f>
        <v>0</v>
      </c>
      <c r="J178" s="2">
        <f>'Client 3'!AB36</f>
        <v>0</v>
      </c>
      <c r="K178" s="2">
        <f>'Client 3'!AC36</f>
        <v>0</v>
      </c>
      <c r="L178" s="2" cm="1">
        <f t="array" aca="1" ref="L178" ca="1">IF(B178=0,0,INDIRECT("MRN_"&amp;A178))</f>
        <v>0</v>
      </c>
      <c r="M178" s="2">
        <f t="shared" si="78"/>
        <v>0</v>
      </c>
      <c r="N178" s="2" t="str">
        <f t="shared" si="79"/>
        <v>No</v>
      </c>
      <c r="O178" s="2" t="str">
        <f t="shared" si="80"/>
        <v>No</v>
      </c>
      <c r="P178" s="2" t="str" cm="1">
        <f t="array" aca="1" ref="P178" ca="1">IF(OR(INDIRECT("MRN_"&amp;A178)="N/A",B178=0),"No","Yes")</f>
        <v>No</v>
      </c>
    </row>
    <row r="179" spans="1:16" x14ac:dyDescent="0.2">
      <c r="A179" s="68">
        <v>3</v>
      </c>
      <c r="B179" s="349">
        <f>'Client 3'!T37</f>
        <v>0</v>
      </c>
      <c r="C179" s="2">
        <f>'Client 3'!U37</f>
        <v>0</v>
      </c>
      <c r="D179" s="2">
        <f>'Client 3'!V37</f>
        <v>0</v>
      </c>
      <c r="E179" s="2">
        <f>'Client 3'!W37</f>
        <v>0</v>
      </c>
      <c r="F179" s="350">
        <f>'Client 3'!X37</f>
        <v>0</v>
      </c>
      <c r="G179" s="2">
        <f>'Client 3'!Y37</f>
        <v>0</v>
      </c>
      <c r="H179" s="2">
        <f>'Client 3'!Z37</f>
        <v>0</v>
      </c>
      <c r="I179" s="2">
        <f>'Client 3'!AA37</f>
        <v>0</v>
      </c>
      <c r="J179" s="2">
        <f>'Client 3'!AB37</f>
        <v>0</v>
      </c>
      <c r="K179" s="2">
        <f>'Client 3'!AC37</f>
        <v>0</v>
      </c>
      <c r="L179" s="2" cm="1">
        <f t="array" aca="1" ref="L179" ca="1">IF(B179=0,0,INDIRECT("MRN_"&amp;A179))</f>
        <v>0</v>
      </c>
      <c r="M179" s="2">
        <f t="shared" si="78"/>
        <v>0</v>
      </c>
      <c r="N179" s="2" t="str">
        <f t="shared" si="79"/>
        <v>No</v>
      </c>
      <c r="O179" s="2" t="str">
        <f t="shared" si="80"/>
        <v>No</v>
      </c>
      <c r="P179" s="2" t="str" cm="1">
        <f t="array" aca="1" ref="P179" ca="1">IF(OR(INDIRECT("MRN_"&amp;A179)="N/A",B179=0),"No","Yes")</f>
        <v>No</v>
      </c>
    </row>
    <row r="180" spans="1:16" x14ac:dyDescent="0.2">
      <c r="A180" s="68">
        <v>3</v>
      </c>
      <c r="B180" s="349">
        <f>'Client 3'!T38</f>
        <v>0</v>
      </c>
      <c r="C180" s="2">
        <f>'Client 3'!U38</f>
        <v>0</v>
      </c>
      <c r="D180" s="2">
        <f>'Client 3'!V38</f>
        <v>0</v>
      </c>
      <c r="E180" s="2">
        <f>'Client 3'!W38</f>
        <v>0</v>
      </c>
      <c r="F180" s="350">
        <f>'Client 3'!X38</f>
        <v>0</v>
      </c>
      <c r="G180" s="2">
        <f>'Client 3'!Y38</f>
        <v>0</v>
      </c>
      <c r="H180" s="2">
        <f>'Client 3'!Z38</f>
        <v>0</v>
      </c>
      <c r="I180" s="2">
        <f>'Client 3'!AA38</f>
        <v>0</v>
      </c>
      <c r="J180" s="2">
        <f>'Client 3'!AB38</f>
        <v>0</v>
      </c>
      <c r="K180" s="2">
        <f>'Client 3'!AC38</f>
        <v>0</v>
      </c>
      <c r="L180" s="2" cm="1">
        <f t="array" aca="1" ref="L180" ca="1">IF(B180=0,0,INDIRECT("MRN_"&amp;A180))</f>
        <v>0</v>
      </c>
      <c r="M180" s="2">
        <f t="shared" si="78"/>
        <v>0</v>
      </c>
      <c r="N180" s="2" t="str">
        <f t="shared" si="79"/>
        <v>No</v>
      </c>
      <c r="O180" s="2" t="str">
        <f t="shared" si="80"/>
        <v>No</v>
      </c>
      <c r="P180" s="2" t="str" cm="1">
        <f t="array" aca="1" ref="P180" ca="1">IF(OR(INDIRECT("MRN_"&amp;A180)="N/A",B180=0),"No","Yes")</f>
        <v>No</v>
      </c>
    </row>
    <row r="181" spans="1:16" x14ac:dyDescent="0.2">
      <c r="A181" s="68">
        <v>4</v>
      </c>
      <c r="B181" s="349">
        <f>'Client 4'!S9</f>
        <v>0</v>
      </c>
      <c r="C181" s="2">
        <f>'Client 4'!T9</f>
        <v>0</v>
      </c>
      <c r="D181" s="2">
        <f>'Client 4'!U9</f>
        <v>0</v>
      </c>
      <c r="E181" s="2">
        <f>'Client 4'!V9</f>
        <v>0</v>
      </c>
      <c r="F181" s="350">
        <f>'Client 4'!W9</f>
        <v>0</v>
      </c>
      <c r="G181" s="2">
        <f>'Client 4'!X9</f>
        <v>0</v>
      </c>
      <c r="H181" s="2">
        <f>'Client 4'!Y9</f>
        <v>0</v>
      </c>
      <c r="I181" s="2">
        <f>'Client 4'!Z9</f>
        <v>0</v>
      </c>
      <c r="J181" s="2">
        <f>'Client 4'!AA9</f>
        <v>0</v>
      </c>
      <c r="K181" s="2">
        <f>'Client 4'!AB9</f>
        <v>0</v>
      </c>
      <c r="L181" s="2" cm="1">
        <f t="array" aca="1" ref="L181" ca="1">IF(B181=0,0,INDIRECT("MRN_"&amp;A181))</f>
        <v>0</v>
      </c>
      <c r="M181" s="2">
        <f t="shared" si="78"/>
        <v>0</v>
      </c>
      <c r="N181" s="2" t="str">
        <f t="shared" si="79"/>
        <v>No</v>
      </c>
      <c r="O181" s="2" t="str">
        <f t="shared" si="80"/>
        <v>No</v>
      </c>
      <c r="P181" s="2" t="str" cm="1">
        <f t="array" aca="1" ref="P181" ca="1">IF(OR(INDIRECT("MRN_"&amp;A181)="N/A",B181=0),"No","Yes")</f>
        <v>No</v>
      </c>
    </row>
    <row r="182" spans="1:16" x14ac:dyDescent="0.2">
      <c r="A182" s="68">
        <v>4</v>
      </c>
      <c r="B182" s="349">
        <f>'Client 4'!S10</f>
        <v>0</v>
      </c>
      <c r="C182" s="2">
        <f>'Client 4'!T10</f>
        <v>0</v>
      </c>
      <c r="D182" s="2">
        <f>'Client 4'!U10</f>
        <v>0</v>
      </c>
      <c r="E182" s="2">
        <f>'Client 4'!V10</f>
        <v>0</v>
      </c>
      <c r="F182" s="350">
        <f>'Client 4'!W10</f>
        <v>0</v>
      </c>
      <c r="G182" s="2">
        <f>'Client 4'!X10</f>
        <v>0</v>
      </c>
      <c r="H182" s="2">
        <f>'Client 4'!Y10</f>
        <v>0</v>
      </c>
      <c r="I182" s="2">
        <f>'Client 4'!Z10</f>
        <v>0</v>
      </c>
      <c r="J182" s="2">
        <f>'Client 4'!AA10</f>
        <v>0</v>
      </c>
      <c r="K182" s="2">
        <f>'Client 4'!AB10</f>
        <v>0</v>
      </c>
      <c r="L182" s="2" cm="1">
        <f t="array" aca="1" ref="L182" ca="1">IF(B182=0,0,INDIRECT("MRN_"&amp;A182))</f>
        <v>0</v>
      </c>
      <c r="M182" s="2">
        <f t="shared" si="78"/>
        <v>0</v>
      </c>
      <c r="N182" s="2" t="str">
        <f t="shared" si="79"/>
        <v>No</v>
      </c>
      <c r="O182" s="2" t="str">
        <f t="shared" si="80"/>
        <v>No</v>
      </c>
      <c r="P182" s="2" t="str" cm="1">
        <f t="array" aca="1" ref="P182" ca="1">IF(OR(INDIRECT("MRN_"&amp;A182)="N/A",B182=0),"No","Yes")</f>
        <v>No</v>
      </c>
    </row>
    <row r="183" spans="1:16" x14ac:dyDescent="0.2">
      <c r="A183" s="68">
        <v>4</v>
      </c>
      <c r="B183" s="349">
        <f>'Client 4'!S11</f>
        <v>0</v>
      </c>
      <c r="C183" s="2">
        <f>'Client 4'!T11</f>
        <v>0</v>
      </c>
      <c r="D183" s="2">
        <f>'Client 4'!U11</f>
        <v>0</v>
      </c>
      <c r="E183" s="2">
        <f>'Client 4'!V11</f>
        <v>0</v>
      </c>
      <c r="F183" s="350">
        <f>'Client 4'!W11</f>
        <v>0</v>
      </c>
      <c r="G183" s="2">
        <f>'Client 4'!X11</f>
        <v>0</v>
      </c>
      <c r="H183" s="2">
        <f>'Client 4'!Y11</f>
        <v>0</v>
      </c>
      <c r="I183" s="2">
        <f>'Client 4'!Z11</f>
        <v>0</v>
      </c>
      <c r="J183" s="2">
        <f>'Client 4'!AA11</f>
        <v>0</v>
      </c>
      <c r="K183" s="2">
        <f>'Client 4'!AB11</f>
        <v>0</v>
      </c>
      <c r="L183" s="2" cm="1">
        <f t="array" aca="1" ref="L183" ca="1">IF(B183=0,0,INDIRECT("MRN_"&amp;A183))</f>
        <v>0</v>
      </c>
      <c r="M183" s="2">
        <f t="shared" si="78"/>
        <v>0</v>
      </c>
      <c r="N183" s="2" t="str">
        <f t="shared" si="79"/>
        <v>No</v>
      </c>
      <c r="O183" s="2" t="str">
        <f t="shared" si="80"/>
        <v>No</v>
      </c>
      <c r="P183" s="2" t="str" cm="1">
        <f t="array" aca="1" ref="P183" ca="1">IF(OR(INDIRECT("MRN_"&amp;A183)="N/A",B183=0),"No","Yes")</f>
        <v>No</v>
      </c>
    </row>
    <row r="184" spans="1:16" x14ac:dyDescent="0.2">
      <c r="A184" s="68">
        <v>4</v>
      </c>
      <c r="B184" s="349">
        <f>'Client 4'!S12</f>
        <v>0</v>
      </c>
      <c r="C184" s="2">
        <f>'Client 4'!T12</f>
        <v>0</v>
      </c>
      <c r="D184" s="2">
        <f>'Client 4'!U12</f>
        <v>0</v>
      </c>
      <c r="E184" s="2">
        <f>'Client 4'!V12</f>
        <v>0</v>
      </c>
      <c r="F184" s="350">
        <f>'Client 4'!W12</f>
        <v>0</v>
      </c>
      <c r="G184" s="2">
        <f>'Client 4'!X12</f>
        <v>0</v>
      </c>
      <c r="H184" s="2">
        <f>'Client 4'!Y12</f>
        <v>0</v>
      </c>
      <c r="I184" s="2">
        <f>'Client 4'!Z12</f>
        <v>0</v>
      </c>
      <c r="J184" s="2">
        <f>'Client 4'!AA12</f>
        <v>0</v>
      </c>
      <c r="K184" s="2">
        <f>'Client 4'!AB12</f>
        <v>0</v>
      </c>
      <c r="L184" s="2" cm="1">
        <f t="array" aca="1" ref="L184" ca="1">IF(B184=0,0,INDIRECT("MRN_"&amp;A184))</f>
        <v>0</v>
      </c>
      <c r="M184" s="2">
        <f t="shared" si="78"/>
        <v>0</v>
      </c>
      <c r="N184" s="2" t="str">
        <f t="shared" si="79"/>
        <v>No</v>
      </c>
      <c r="O184" s="2" t="str">
        <f t="shared" si="80"/>
        <v>No</v>
      </c>
      <c r="P184" s="2" t="str" cm="1">
        <f t="array" aca="1" ref="P184" ca="1">IF(OR(INDIRECT("MRN_"&amp;A184)="N/A",B184=0),"No","Yes")</f>
        <v>No</v>
      </c>
    </row>
    <row r="185" spans="1:16" x14ac:dyDescent="0.2">
      <c r="A185" s="68">
        <v>4</v>
      </c>
      <c r="B185" s="349">
        <f>'Client 4'!S13</f>
        <v>0</v>
      </c>
      <c r="C185" s="2">
        <f>'Client 4'!T13</f>
        <v>0</v>
      </c>
      <c r="D185" s="2">
        <f>'Client 4'!U13</f>
        <v>0</v>
      </c>
      <c r="E185" s="2">
        <f>'Client 4'!V13</f>
        <v>0</v>
      </c>
      <c r="F185" s="350">
        <f>'Client 4'!W13</f>
        <v>0</v>
      </c>
      <c r="G185" s="2">
        <f>'Client 4'!X13</f>
        <v>0</v>
      </c>
      <c r="H185" s="2">
        <f>'Client 4'!Y13</f>
        <v>0</v>
      </c>
      <c r="I185" s="2">
        <f>'Client 4'!Z13</f>
        <v>0</v>
      </c>
      <c r="J185" s="2">
        <f>'Client 4'!AA13</f>
        <v>0</v>
      </c>
      <c r="K185" s="2">
        <f>'Client 4'!AB13</f>
        <v>0</v>
      </c>
      <c r="L185" s="2" cm="1">
        <f t="array" aca="1" ref="L185" ca="1">IF(B185=0,0,INDIRECT("MRN_"&amp;A185))</f>
        <v>0</v>
      </c>
      <c r="M185" s="2">
        <f t="shared" si="78"/>
        <v>0</v>
      </c>
      <c r="N185" s="2" t="str">
        <f t="shared" si="79"/>
        <v>No</v>
      </c>
      <c r="O185" s="2" t="str">
        <f t="shared" si="80"/>
        <v>No</v>
      </c>
      <c r="P185" s="2" t="str" cm="1">
        <f t="array" aca="1" ref="P185" ca="1">IF(OR(INDIRECT("MRN_"&amp;A185)="N/A",B185=0),"No","Yes")</f>
        <v>No</v>
      </c>
    </row>
    <row r="186" spans="1:16" x14ac:dyDescent="0.2">
      <c r="A186" s="68">
        <v>4</v>
      </c>
      <c r="B186" s="349">
        <f>'Client 4'!S14</f>
        <v>0</v>
      </c>
      <c r="C186" s="2">
        <f>'Client 4'!T14</f>
        <v>0</v>
      </c>
      <c r="D186" s="2">
        <f>'Client 4'!U14</f>
        <v>0</v>
      </c>
      <c r="E186" s="2">
        <f>'Client 4'!V14</f>
        <v>0</v>
      </c>
      <c r="F186" s="350">
        <f>'Client 4'!W14</f>
        <v>0</v>
      </c>
      <c r="G186" s="2">
        <f>'Client 4'!X14</f>
        <v>0</v>
      </c>
      <c r="H186" s="2">
        <f>'Client 4'!Y14</f>
        <v>0</v>
      </c>
      <c r="I186" s="2">
        <f>'Client 4'!Z14</f>
        <v>0</v>
      </c>
      <c r="J186" s="2">
        <f>'Client 4'!AA14</f>
        <v>0</v>
      </c>
      <c r="K186" s="2">
        <f>'Client 4'!AB14</f>
        <v>0</v>
      </c>
      <c r="L186" s="2" cm="1">
        <f t="array" aca="1" ref="L186" ca="1">IF(B186=0,0,INDIRECT("MRN_"&amp;A186))</f>
        <v>0</v>
      </c>
      <c r="M186" s="2">
        <f t="shared" si="78"/>
        <v>0</v>
      </c>
      <c r="N186" s="2" t="str">
        <f t="shared" si="79"/>
        <v>No</v>
      </c>
      <c r="O186" s="2" t="str">
        <f t="shared" si="80"/>
        <v>No</v>
      </c>
      <c r="P186" s="2" t="str" cm="1">
        <f t="array" aca="1" ref="P186" ca="1">IF(OR(INDIRECT("MRN_"&amp;A186)="N/A",B186=0),"No","Yes")</f>
        <v>No</v>
      </c>
    </row>
    <row r="187" spans="1:16" x14ac:dyDescent="0.2">
      <c r="A187" s="68">
        <v>4</v>
      </c>
      <c r="B187" s="349">
        <f>'Client 4'!S15</f>
        <v>0</v>
      </c>
      <c r="C187" s="2">
        <f>'Client 4'!T15</f>
        <v>0</v>
      </c>
      <c r="D187" s="2">
        <f>'Client 4'!U15</f>
        <v>0</v>
      </c>
      <c r="E187" s="2">
        <f>'Client 4'!V15</f>
        <v>0</v>
      </c>
      <c r="F187" s="350">
        <f>'Client 4'!W15</f>
        <v>0</v>
      </c>
      <c r="G187" s="2">
        <f>'Client 4'!X15</f>
        <v>0</v>
      </c>
      <c r="H187" s="2">
        <f>'Client 4'!Y15</f>
        <v>0</v>
      </c>
      <c r="I187" s="2">
        <f>'Client 4'!Z15</f>
        <v>0</v>
      </c>
      <c r="J187" s="2">
        <f>'Client 4'!AA15</f>
        <v>0</v>
      </c>
      <c r="K187" s="2">
        <f>'Client 4'!AB15</f>
        <v>0</v>
      </c>
      <c r="L187" s="2" cm="1">
        <f t="array" aca="1" ref="L187" ca="1">IF(B187=0,0,INDIRECT("MRN_"&amp;A187))</f>
        <v>0</v>
      </c>
      <c r="M187" s="2">
        <f t="shared" si="78"/>
        <v>0</v>
      </c>
      <c r="N187" s="2" t="str">
        <f t="shared" si="79"/>
        <v>No</v>
      </c>
      <c r="O187" s="2" t="str">
        <f t="shared" si="80"/>
        <v>No</v>
      </c>
      <c r="P187" s="2" t="str" cm="1">
        <f t="array" aca="1" ref="P187" ca="1">IF(OR(INDIRECT("MRN_"&amp;A187)="N/A",B187=0),"No","Yes")</f>
        <v>No</v>
      </c>
    </row>
    <row r="188" spans="1:16" x14ac:dyDescent="0.2">
      <c r="A188" s="68">
        <v>4</v>
      </c>
      <c r="B188" s="349">
        <f>'Client 4'!S16</f>
        <v>0</v>
      </c>
      <c r="C188" s="2">
        <f>'Client 4'!T16</f>
        <v>0</v>
      </c>
      <c r="D188" s="2">
        <f>'Client 4'!U16</f>
        <v>0</v>
      </c>
      <c r="E188" s="2">
        <f>'Client 4'!V16</f>
        <v>0</v>
      </c>
      <c r="F188" s="350">
        <f>'Client 4'!W16</f>
        <v>0</v>
      </c>
      <c r="G188" s="2">
        <f>'Client 4'!X16</f>
        <v>0</v>
      </c>
      <c r="H188" s="2">
        <f>'Client 4'!Y16</f>
        <v>0</v>
      </c>
      <c r="I188" s="2">
        <f>'Client 4'!Z16</f>
        <v>0</v>
      </c>
      <c r="J188" s="2">
        <f>'Client 4'!AA16</f>
        <v>0</v>
      </c>
      <c r="K188" s="2">
        <f>'Client 4'!AB16</f>
        <v>0</v>
      </c>
      <c r="L188" s="2" cm="1">
        <f t="array" aca="1" ref="L188" ca="1">IF(B188=0,0,INDIRECT("MRN_"&amp;A188))</f>
        <v>0</v>
      </c>
      <c r="M188" s="2">
        <f t="shared" si="78"/>
        <v>0</v>
      </c>
      <c r="N188" s="2" t="str">
        <f t="shared" si="79"/>
        <v>No</v>
      </c>
      <c r="O188" s="2" t="str">
        <f t="shared" si="80"/>
        <v>No</v>
      </c>
      <c r="P188" s="2" t="str" cm="1">
        <f t="array" aca="1" ref="P188" ca="1">IF(OR(INDIRECT("MRN_"&amp;A188)="N/A",B188=0),"No","Yes")</f>
        <v>No</v>
      </c>
    </row>
    <row r="189" spans="1:16" x14ac:dyDescent="0.2">
      <c r="A189" s="68">
        <v>4</v>
      </c>
      <c r="B189" s="349">
        <f>'Client 4'!S17</f>
        <v>0</v>
      </c>
      <c r="C189" s="2">
        <f>'Client 4'!T17</f>
        <v>0</v>
      </c>
      <c r="D189" s="2">
        <f>'Client 4'!U17</f>
        <v>0</v>
      </c>
      <c r="E189" s="2">
        <f>'Client 4'!V17</f>
        <v>0</v>
      </c>
      <c r="F189" s="350">
        <f>'Client 4'!W17</f>
        <v>0</v>
      </c>
      <c r="G189" s="2">
        <f>'Client 4'!X17</f>
        <v>0</v>
      </c>
      <c r="H189" s="2">
        <f>'Client 4'!Y17</f>
        <v>0</v>
      </c>
      <c r="I189" s="2">
        <f>'Client 4'!Z17</f>
        <v>0</v>
      </c>
      <c r="J189" s="2">
        <f>'Client 4'!AA17</f>
        <v>0</v>
      </c>
      <c r="K189" s="2">
        <f>'Client 4'!AB17</f>
        <v>0</v>
      </c>
      <c r="L189" s="2" cm="1">
        <f t="array" aca="1" ref="L189" ca="1">IF(B189=0,0,INDIRECT("MRN_"&amp;A189))</f>
        <v>0</v>
      </c>
      <c r="M189" s="2">
        <f t="shared" si="78"/>
        <v>0</v>
      </c>
      <c r="N189" s="2" t="str">
        <f t="shared" si="79"/>
        <v>No</v>
      </c>
      <c r="O189" s="2" t="str">
        <f t="shared" si="80"/>
        <v>No</v>
      </c>
      <c r="P189" s="2" t="str" cm="1">
        <f t="array" aca="1" ref="P189" ca="1">IF(OR(INDIRECT("MRN_"&amp;A189)="N/A",B189=0),"No","Yes")</f>
        <v>No</v>
      </c>
    </row>
    <row r="190" spans="1:16" x14ac:dyDescent="0.2">
      <c r="A190" s="68">
        <v>4</v>
      </c>
      <c r="B190" s="349">
        <f>'Client 4'!S18</f>
        <v>0</v>
      </c>
      <c r="C190" s="2">
        <f>'Client 4'!T18</f>
        <v>0</v>
      </c>
      <c r="D190" s="2">
        <f>'Client 4'!U18</f>
        <v>0</v>
      </c>
      <c r="E190" s="2">
        <f>'Client 4'!V18</f>
        <v>0</v>
      </c>
      <c r="F190" s="350">
        <f>'Client 4'!W18</f>
        <v>0</v>
      </c>
      <c r="G190" s="2">
        <f>'Client 4'!X18</f>
        <v>0</v>
      </c>
      <c r="H190" s="2">
        <f>'Client 4'!Y18</f>
        <v>0</v>
      </c>
      <c r="I190" s="2">
        <f>'Client 4'!Z18</f>
        <v>0</v>
      </c>
      <c r="J190" s="2">
        <f>'Client 4'!AA18</f>
        <v>0</v>
      </c>
      <c r="K190" s="2">
        <f>'Client 4'!AB18</f>
        <v>0</v>
      </c>
      <c r="L190" s="2" cm="1">
        <f t="array" aca="1" ref="L190" ca="1">IF(B190=0,0,INDIRECT("MRN_"&amp;A190))</f>
        <v>0</v>
      </c>
      <c r="M190" s="2">
        <f t="shared" si="78"/>
        <v>0</v>
      </c>
      <c r="N190" s="2" t="str">
        <f t="shared" si="79"/>
        <v>No</v>
      </c>
      <c r="O190" s="2" t="str">
        <f t="shared" si="80"/>
        <v>No</v>
      </c>
      <c r="P190" s="2" t="str" cm="1">
        <f t="array" aca="1" ref="P190" ca="1">IF(OR(INDIRECT("MRN_"&amp;A190)="N/A",B190=0),"No","Yes")</f>
        <v>No</v>
      </c>
    </row>
    <row r="191" spans="1:16" x14ac:dyDescent="0.2">
      <c r="A191" s="68">
        <v>4</v>
      </c>
      <c r="B191" s="349">
        <f>'Client 4'!S19</f>
        <v>0</v>
      </c>
      <c r="C191" s="2">
        <f>'Client 4'!T19</f>
        <v>0</v>
      </c>
      <c r="D191" s="2">
        <f>'Client 4'!U19</f>
        <v>0</v>
      </c>
      <c r="E191" s="2">
        <f>'Client 4'!V19</f>
        <v>0</v>
      </c>
      <c r="F191" s="350">
        <f>'Client 4'!W19</f>
        <v>0</v>
      </c>
      <c r="G191" s="2">
        <f>'Client 4'!X19</f>
        <v>0</v>
      </c>
      <c r="H191" s="2">
        <f>'Client 4'!Y19</f>
        <v>0</v>
      </c>
      <c r="I191" s="2">
        <f>'Client 4'!Z19</f>
        <v>0</v>
      </c>
      <c r="J191" s="2">
        <f>'Client 4'!AA19</f>
        <v>0</v>
      </c>
      <c r="K191" s="2">
        <f>'Client 4'!AB19</f>
        <v>0</v>
      </c>
      <c r="L191" s="2" cm="1">
        <f t="array" aca="1" ref="L191" ca="1">IF(B191=0,0,INDIRECT("MRN_"&amp;A191))</f>
        <v>0</v>
      </c>
      <c r="M191" s="2">
        <f t="shared" si="78"/>
        <v>0</v>
      </c>
      <c r="N191" s="2" t="str">
        <f t="shared" si="79"/>
        <v>No</v>
      </c>
      <c r="O191" s="2" t="str">
        <f t="shared" si="80"/>
        <v>No</v>
      </c>
      <c r="P191" s="2" t="str" cm="1">
        <f t="array" aca="1" ref="P191" ca="1">IF(OR(INDIRECT("MRN_"&amp;A191)="N/A",B191=0),"No","Yes")</f>
        <v>No</v>
      </c>
    </row>
    <row r="192" spans="1:16" x14ac:dyDescent="0.2">
      <c r="A192" s="68">
        <v>4</v>
      </c>
      <c r="B192" s="349">
        <f>'Client 4'!S20</f>
        <v>0</v>
      </c>
      <c r="C192" s="2">
        <f>'Client 4'!T20</f>
        <v>0</v>
      </c>
      <c r="D192" s="2">
        <f>'Client 4'!U20</f>
        <v>0</v>
      </c>
      <c r="E192" s="2">
        <f>'Client 4'!V20</f>
        <v>0</v>
      </c>
      <c r="F192" s="350">
        <f>'Client 4'!W20</f>
        <v>0</v>
      </c>
      <c r="G192" s="2">
        <f>'Client 4'!X20</f>
        <v>0</v>
      </c>
      <c r="H192" s="2">
        <f>'Client 4'!Y20</f>
        <v>0</v>
      </c>
      <c r="I192" s="2">
        <f>'Client 4'!Z20</f>
        <v>0</v>
      </c>
      <c r="J192" s="2">
        <f>'Client 4'!AA20</f>
        <v>0</v>
      </c>
      <c r="K192" s="2">
        <f>'Client 4'!AB20</f>
        <v>0</v>
      </c>
      <c r="L192" s="2" cm="1">
        <f t="array" aca="1" ref="L192" ca="1">IF(B192=0,0,INDIRECT("MRN_"&amp;A192))</f>
        <v>0</v>
      </c>
      <c r="M192" s="2">
        <f t="shared" si="78"/>
        <v>0</v>
      </c>
      <c r="N192" s="2" t="str">
        <f t="shared" si="79"/>
        <v>No</v>
      </c>
      <c r="O192" s="2" t="str">
        <f t="shared" si="80"/>
        <v>No</v>
      </c>
      <c r="P192" s="2" t="str" cm="1">
        <f t="array" aca="1" ref="P192" ca="1">IF(OR(INDIRECT("MRN_"&amp;A192)="N/A",B192=0),"No","Yes")</f>
        <v>No</v>
      </c>
    </row>
    <row r="193" spans="1:16" x14ac:dyDescent="0.2">
      <c r="A193" s="68">
        <v>4</v>
      </c>
      <c r="B193" s="349">
        <f>'Client 4'!S21</f>
        <v>0</v>
      </c>
      <c r="C193" s="2">
        <f>'Client 4'!T21</f>
        <v>0</v>
      </c>
      <c r="D193" s="2">
        <f>'Client 4'!U21</f>
        <v>0</v>
      </c>
      <c r="E193" s="2">
        <f>'Client 4'!V21</f>
        <v>0</v>
      </c>
      <c r="F193" s="350">
        <f>'Client 4'!W21</f>
        <v>0</v>
      </c>
      <c r="G193" s="2">
        <f>'Client 4'!X21</f>
        <v>0</v>
      </c>
      <c r="H193" s="2">
        <f>'Client 4'!Y21</f>
        <v>0</v>
      </c>
      <c r="I193" s="2">
        <f>'Client 4'!Z21</f>
        <v>0</v>
      </c>
      <c r="J193" s="2">
        <f>'Client 4'!AA21</f>
        <v>0</v>
      </c>
      <c r="K193" s="2">
        <f>'Client 4'!AB21</f>
        <v>0</v>
      </c>
      <c r="L193" s="2" cm="1">
        <f t="array" aca="1" ref="L193" ca="1">IF(B193=0,0,INDIRECT("MRN_"&amp;A193))</f>
        <v>0</v>
      </c>
      <c r="M193" s="2">
        <f t="shared" si="78"/>
        <v>0</v>
      </c>
      <c r="N193" s="2" t="str">
        <f t="shared" si="79"/>
        <v>No</v>
      </c>
      <c r="O193" s="2" t="str">
        <f t="shared" si="80"/>
        <v>No</v>
      </c>
      <c r="P193" s="2" t="str" cm="1">
        <f t="array" aca="1" ref="P193" ca="1">IF(OR(INDIRECT("MRN_"&amp;A193)="N/A",B193=0),"No","Yes")</f>
        <v>No</v>
      </c>
    </row>
    <row r="194" spans="1:16" x14ac:dyDescent="0.2">
      <c r="A194" s="68">
        <v>4</v>
      </c>
      <c r="B194" s="349">
        <f>'Client 4'!S22</f>
        <v>0</v>
      </c>
      <c r="C194" s="2">
        <f>'Client 4'!T22</f>
        <v>0</v>
      </c>
      <c r="D194" s="2">
        <f>'Client 4'!U22</f>
        <v>0</v>
      </c>
      <c r="E194" s="2">
        <f>'Client 4'!V22</f>
        <v>0</v>
      </c>
      <c r="F194" s="350">
        <f>'Client 4'!W22</f>
        <v>0</v>
      </c>
      <c r="G194" s="2">
        <f>'Client 4'!X22</f>
        <v>0</v>
      </c>
      <c r="H194" s="2">
        <f>'Client 4'!Y22</f>
        <v>0</v>
      </c>
      <c r="I194" s="2">
        <f>'Client 4'!Z22</f>
        <v>0</v>
      </c>
      <c r="J194" s="2">
        <f>'Client 4'!AA22</f>
        <v>0</v>
      </c>
      <c r="K194" s="2">
        <f>'Client 4'!AB22</f>
        <v>0</v>
      </c>
      <c r="L194" s="2" cm="1">
        <f t="array" aca="1" ref="L194" ca="1">IF(B194=0,0,INDIRECT("MRN_"&amp;A194))</f>
        <v>0</v>
      </c>
      <c r="M194" s="2">
        <f t="shared" si="78"/>
        <v>0</v>
      </c>
      <c r="N194" s="2" t="str">
        <f t="shared" si="79"/>
        <v>No</v>
      </c>
      <c r="O194" s="2" t="str">
        <f t="shared" si="80"/>
        <v>No</v>
      </c>
      <c r="P194" s="2" t="str" cm="1">
        <f t="array" aca="1" ref="P194" ca="1">IF(OR(INDIRECT("MRN_"&amp;A194)="N/A",B194=0),"No","Yes")</f>
        <v>No</v>
      </c>
    </row>
    <row r="195" spans="1:16" x14ac:dyDescent="0.2">
      <c r="A195" s="68">
        <v>4</v>
      </c>
      <c r="B195" s="349">
        <f>'Client 4'!S23</f>
        <v>0</v>
      </c>
      <c r="C195" s="2">
        <f>'Client 4'!T23</f>
        <v>0</v>
      </c>
      <c r="D195" s="2">
        <f>'Client 4'!U23</f>
        <v>0</v>
      </c>
      <c r="E195" s="2">
        <f>'Client 4'!V23</f>
        <v>0</v>
      </c>
      <c r="F195" s="350">
        <f>'Client 4'!W23</f>
        <v>0</v>
      </c>
      <c r="G195" s="2">
        <f>'Client 4'!X23</f>
        <v>0</v>
      </c>
      <c r="H195" s="2">
        <f>'Client 4'!Y23</f>
        <v>0</v>
      </c>
      <c r="I195" s="2">
        <f>'Client 4'!Z23</f>
        <v>0</v>
      </c>
      <c r="J195" s="2">
        <f>'Client 4'!AA23</f>
        <v>0</v>
      </c>
      <c r="K195" s="2">
        <f>'Client 4'!AB23</f>
        <v>0</v>
      </c>
      <c r="L195" s="2" cm="1">
        <f t="array" aca="1" ref="L195" ca="1">IF(B195=0,0,INDIRECT("MRN_"&amp;A195))</f>
        <v>0</v>
      </c>
      <c r="M195" s="2">
        <f t="shared" si="78"/>
        <v>0</v>
      </c>
      <c r="N195" s="2" t="str">
        <f t="shared" si="79"/>
        <v>No</v>
      </c>
      <c r="O195" s="2" t="str">
        <f t="shared" si="80"/>
        <v>No</v>
      </c>
      <c r="P195" s="2" t="str" cm="1">
        <f t="array" aca="1" ref="P195" ca="1">IF(OR(INDIRECT("MRN_"&amp;A195)="N/A",B195=0),"No","Yes")</f>
        <v>No</v>
      </c>
    </row>
    <row r="196" spans="1:16" x14ac:dyDescent="0.2">
      <c r="A196" s="68">
        <v>4</v>
      </c>
      <c r="B196" s="349">
        <f>'Client 4'!S24</f>
        <v>0</v>
      </c>
      <c r="C196" s="2">
        <f>'Client 4'!T24</f>
        <v>0</v>
      </c>
      <c r="D196" s="2">
        <f>'Client 4'!U24</f>
        <v>0</v>
      </c>
      <c r="E196" s="2">
        <f>'Client 4'!V24</f>
        <v>0</v>
      </c>
      <c r="F196" s="350">
        <f>'Client 4'!W24</f>
        <v>0</v>
      </c>
      <c r="G196" s="2">
        <f>'Client 4'!X24</f>
        <v>0</v>
      </c>
      <c r="H196" s="2">
        <f>'Client 4'!Y24</f>
        <v>0</v>
      </c>
      <c r="I196" s="2">
        <f>'Client 4'!Z24</f>
        <v>0</v>
      </c>
      <c r="J196" s="2">
        <f>'Client 4'!AA24</f>
        <v>0</v>
      </c>
      <c r="K196" s="2">
        <f>'Client 4'!AB24</f>
        <v>0</v>
      </c>
      <c r="L196" s="2" cm="1">
        <f t="array" aca="1" ref="L196" ca="1">IF(B196=0,0,INDIRECT("MRN_"&amp;A196))</f>
        <v>0</v>
      </c>
      <c r="M196" s="2">
        <f t="shared" si="78"/>
        <v>0</v>
      </c>
      <c r="N196" s="2" t="str">
        <f t="shared" si="79"/>
        <v>No</v>
      </c>
      <c r="O196" s="2" t="str">
        <f t="shared" si="80"/>
        <v>No</v>
      </c>
      <c r="P196" s="2" t="str" cm="1">
        <f t="array" aca="1" ref="P196" ca="1">IF(OR(INDIRECT("MRN_"&amp;A196)="N/A",B196=0),"No","Yes")</f>
        <v>No</v>
      </c>
    </row>
    <row r="197" spans="1:16" x14ac:dyDescent="0.2">
      <c r="A197" s="68">
        <v>4</v>
      </c>
      <c r="B197" s="349">
        <f>'Client 4'!S25</f>
        <v>0</v>
      </c>
      <c r="C197" s="2">
        <f>'Client 4'!T25</f>
        <v>0</v>
      </c>
      <c r="D197" s="2">
        <f>'Client 4'!U25</f>
        <v>0</v>
      </c>
      <c r="E197" s="2">
        <f>'Client 4'!V25</f>
        <v>0</v>
      </c>
      <c r="F197" s="350">
        <f>'Client 4'!W25</f>
        <v>0</v>
      </c>
      <c r="G197" s="2">
        <f>'Client 4'!X25</f>
        <v>0</v>
      </c>
      <c r="H197" s="2">
        <f>'Client 4'!Y25</f>
        <v>0</v>
      </c>
      <c r="I197" s="2">
        <f>'Client 4'!Z25</f>
        <v>0</v>
      </c>
      <c r="J197" s="2">
        <f>'Client 4'!AA25</f>
        <v>0</v>
      </c>
      <c r="K197" s="2">
        <f>'Client 4'!AB25</f>
        <v>0</v>
      </c>
      <c r="L197" s="2" cm="1">
        <f t="array" aca="1" ref="L197" ca="1">IF(B197=0,0,INDIRECT("MRN_"&amp;A197))</f>
        <v>0</v>
      </c>
      <c r="M197" s="2">
        <f t="shared" si="78"/>
        <v>0</v>
      </c>
      <c r="N197" s="2" t="str">
        <f t="shared" si="79"/>
        <v>No</v>
      </c>
      <c r="O197" s="2" t="str">
        <f t="shared" si="80"/>
        <v>No</v>
      </c>
      <c r="P197" s="2" t="str" cm="1">
        <f t="array" aca="1" ref="P197" ca="1">IF(OR(INDIRECT("MRN_"&amp;A197)="N/A",B197=0),"No","Yes")</f>
        <v>No</v>
      </c>
    </row>
    <row r="198" spans="1:16" x14ac:dyDescent="0.2">
      <c r="A198" s="68">
        <v>4</v>
      </c>
      <c r="B198" s="349">
        <f>'Client 4'!S26</f>
        <v>0</v>
      </c>
      <c r="C198" s="2">
        <f>'Client 4'!T26</f>
        <v>0</v>
      </c>
      <c r="D198" s="2">
        <f>'Client 4'!U26</f>
        <v>0</v>
      </c>
      <c r="E198" s="2">
        <f>'Client 4'!V26</f>
        <v>0</v>
      </c>
      <c r="F198" s="350">
        <f>'Client 4'!W26</f>
        <v>0</v>
      </c>
      <c r="G198" s="2">
        <f>'Client 4'!X26</f>
        <v>0</v>
      </c>
      <c r="H198" s="2">
        <f>'Client 4'!Y26</f>
        <v>0</v>
      </c>
      <c r="I198" s="2">
        <f>'Client 4'!Z26</f>
        <v>0</v>
      </c>
      <c r="J198" s="2">
        <f>'Client 4'!AA26</f>
        <v>0</v>
      </c>
      <c r="K198" s="2">
        <f>'Client 4'!AB26</f>
        <v>0</v>
      </c>
      <c r="L198" s="2" cm="1">
        <f t="array" aca="1" ref="L198" ca="1">IF(B198=0,0,INDIRECT("MRN_"&amp;A198))</f>
        <v>0</v>
      </c>
      <c r="M198" s="2">
        <f t="shared" si="78"/>
        <v>0</v>
      </c>
      <c r="N198" s="2" t="str">
        <f t="shared" si="79"/>
        <v>No</v>
      </c>
      <c r="O198" s="2" t="str">
        <f t="shared" si="80"/>
        <v>No</v>
      </c>
      <c r="P198" s="2" t="str" cm="1">
        <f t="array" aca="1" ref="P198" ca="1">IF(OR(INDIRECT("MRN_"&amp;A198)="N/A",B198=0),"No","Yes")</f>
        <v>No</v>
      </c>
    </row>
    <row r="199" spans="1:16" x14ac:dyDescent="0.2">
      <c r="A199" s="68">
        <v>4</v>
      </c>
      <c r="B199" s="349">
        <f>'Client 4'!S27</f>
        <v>0</v>
      </c>
      <c r="C199" s="2">
        <f>'Client 4'!T27</f>
        <v>0</v>
      </c>
      <c r="D199" s="2">
        <f>'Client 4'!U27</f>
        <v>0</v>
      </c>
      <c r="E199" s="2">
        <f>'Client 4'!V27</f>
        <v>0</v>
      </c>
      <c r="F199" s="350">
        <f>'Client 4'!W27</f>
        <v>0</v>
      </c>
      <c r="G199" s="2">
        <f>'Client 4'!X27</f>
        <v>0</v>
      </c>
      <c r="H199" s="2">
        <f>'Client 4'!Y27</f>
        <v>0</v>
      </c>
      <c r="I199" s="2">
        <f>'Client 4'!Z27</f>
        <v>0</v>
      </c>
      <c r="J199" s="2">
        <f>'Client 4'!AA27</f>
        <v>0</v>
      </c>
      <c r="K199" s="2">
        <f>'Client 4'!AB27</f>
        <v>0</v>
      </c>
      <c r="L199" s="2" cm="1">
        <f t="array" aca="1" ref="L199" ca="1">IF(B199=0,0,INDIRECT("MRN_"&amp;A199))</f>
        <v>0</v>
      </c>
      <c r="M199" s="2">
        <f t="shared" si="78"/>
        <v>0</v>
      </c>
      <c r="N199" s="2" t="str">
        <f t="shared" si="79"/>
        <v>No</v>
      </c>
      <c r="O199" s="2" t="str">
        <f t="shared" si="80"/>
        <v>No</v>
      </c>
      <c r="P199" s="2" t="str" cm="1">
        <f t="array" aca="1" ref="P199" ca="1">IF(OR(INDIRECT("MRN_"&amp;A199)="N/A",B199=0),"No","Yes")</f>
        <v>No</v>
      </c>
    </row>
    <row r="200" spans="1:16" x14ac:dyDescent="0.2">
      <c r="A200" s="68">
        <v>4</v>
      </c>
      <c r="B200" s="349">
        <f>'Client 4'!S28</f>
        <v>0</v>
      </c>
      <c r="C200" s="2">
        <f>'Client 4'!T28</f>
        <v>0</v>
      </c>
      <c r="D200" s="2">
        <f>'Client 4'!U28</f>
        <v>0</v>
      </c>
      <c r="E200" s="2">
        <f>'Client 4'!V28</f>
        <v>0</v>
      </c>
      <c r="F200" s="350">
        <f>'Client 4'!W28</f>
        <v>0</v>
      </c>
      <c r="G200" s="2">
        <f>'Client 4'!X28</f>
        <v>0</v>
      </c>
      <c r="H200" s="2">
        <f>'Client 4'!Y28</f>
        <v>0</v>
      </c>
      <c r="I200" s="2">
        <f>'Client 4'!Z28</f>
        <v>0</v>
      </c>
      <c r="J200" s="2">
        <f>'Client 4'!AA28</f>
        <v>0</v>
      </c>
      <c r="K200" s="2">
        <f>'Client 4'!AB28</f>
        <v>0</v>
      </c>
      <c r="L200" s="2" cm="1">
        <f t="array" aca="1" ref="L200" ca="1">IF(B200=0,0,INDIRECT("MRN_"&amp;A200))</f>
        <v>0</v>
      </c>
      <c r="M200" s="2">
        <f t="shared" si="78"/>
        <v>0</v>
      </c>
      <c r="N200" s="2" t="str">
        <f t="shared" si="79"/>
        <v>No</v>
      </c>
      <c r="O200" s="2" t="str">
        <f t="shared" si="80"/>
        <v>No</v>
      </c>
      <c r="P200" s="2" t="str" cm="1">
        <f t="array" aca="1" ref="P200" ca="1">IF(OR(INDIRECT("MRN_"&amp;A200)="N/A",B200=0),"No","Yes")</f>
        <v>No</v>
      </c>
    </row>
    <row r="201" spans="1:16" x14ac:dyDescent="0.2">
      <c r="A201" s="68">
        <v>4</v>
      </c>
      <c r="B201" s="349">
        <f>'Client 4'!S29</f>
        <v>0</v>
      </c>
      <c r="C201" s="2">
        <f>'Client 4'!T29</f>
        <v>0</v>
      </c>
      <c r="D201" s="2">
        <f>'Client 4'!U29</f>
        <v>0</v>
      </c>
      <c r="E201" s="2">
        <f>'Client 4'!V29</f>
        <v>0</v>
      </c>
      <c r="F201" s="350">
        <f>'Client 4'!W29</f>
        <v>0</v>
      </c>
      <c r="G201" s="2">
        <f>'Client 4'!X29</f>
        <v>0</v>
      </c>
      <c r="H201" s="2">
        <f>'Client 4'!Y29</f>
        <v>0</v>
      </c>
      <c r="I201" s="2">
        <f>'Client 4'!Z29</f>
        <v>0</v>
      </c>
      <c r="J201" s="2">
        <f>'Client 4'!AA29</f>
        <v>0</v>
      </c>
      <c r="K201" s="2">
        <f>'Client 4'!AB29</f>
        <v>0</v>
      </c>
      <c r="L201" s="2" cm="1">
        <f t="array" aca="1" ref="L201" ca="1">IF(B201=0,0,INDIRECT("MRN_"&amp;A201))</f>
        <v>0</v>
      </c>
      <c r="M201" s="2">
        <f t="shared" si="78"/>
        <v>0</v>
      </c>
      <c r="N201" s="2" t="str">
        <f t="shared" si="79"/>
        <v>No</v>
      </c>
      <c r="O201" s="2" t="str">
        <f t="shared" si="80"/>
        <v>No</v>
      </c>
      <c r="P201" s="2" t="str" cm="1">
        <f t="array" aca="1" ref="P201" ca="1">IF(OR(INDIRECT("MRN_"&amp;A201)="N/A",B201=0),"No","Yes")</f>
        <v>No</v>
      </c>
    </row>
    <row r="202" spans="1:16" x14ac:dyDescent="0.2">
      <c r="A202" s="68">
        <v>4</v>
      </c>
      <c r="B202" s="349">
        <f>'Client 4'!S30</f>
        <v>0</v>
      </c>
      <c r="C202" s="2">
        <f>'Client 4'!T30</f>
        <v>0</v>
      </c>
      <c r="D202" s="2">
        <f>'Client 4'!U30</f>
        <v>0</v>
      </c>
      <c r="E202" s="2">
        <f>'Client 4'!V30</f>
        <v>0</v>
      </c>
      <c r="F202" s="350">
        <f>'Client 4'!W30</f>
        <v>0</v>
      </c>
      <c r="G202" s="2">
        <f>'Client 4'!X30</f>
        <v>0</v>
      </c>
      <c r="H202" s="2">
        <f>'Client 4'!Y30</f>
        <v>0</v>
      </c>
      <c r="I202" s="2">
        <f>'Client 4'!Z30</f>
        <v>0</v>
      </c>
      <c r="J202" s="2">
        <f>'Client 4'!AA30</f>
        <v>0</v>
      </c>
      <c r="K202" s="2">
        <f>'Client 4'!AB30</f>
        <v>0</v>
      </c>
      <c r="L202" s="2" cm="1">
        <f t="array" aca="1" ref="L202" ca="1">IF(B202=0,0,INDIRECT("MRN_"&amp;A202))</f>
        <v>0</v>
      </c>
      <c r="M202" s="2">
        <f t="shared" si="78"/>
        <v>0</v>
      </c>
      <c r="N202" s="2" t="str">
        <f t="shared" si="79"/>
        <v>No</v>
      </c>
      <c r="O202" s="2" t="str">
        <f t="shared" si="80"/>
        <v>No</v>
      </c>
      <c r="P202" s="2" t="str" cm="1">
        <f t="array" aca="1" ref="P202" ca="1">IF(OR(INDIRECT("MRN_"&amp;A202)="N/A",B202=0),"No","Yes")</f>
        <v>No</v>
      </c>
    </row>
    <row r="203" spans="1:16" x14ac:dyDescent="0.2">
      <c r="A203" s="68">
        <v>4</v>
      </c>
      <c r="B203" s="349">
        <f>'Client 4'!S31</f>
        <v>0</v>
      </c>
      <c r="C203" s="2">
        <f>'Client 4'!T31</f>
        <v>0</v>
      </c>
      <c r="D203" s="2">
        <f>'Client 4'!U31</f>
        <v>0</v>
      </c>
      <c r="E203" s="2">
        <f>'Client 4'!V31</f>
        <v>0</v>
      </c>
      <c r="F203" s="350">
        <f>'Client 4'!W31</f>
        <v>0</v>
      </c>
      <c r="G203" s="2">
        <f>'Client 4'!X31</f>
        <v>0</v>
      </c>
      <c r="H203" s="2">
        <f>'Client 4'!Y31</f>
        <v>0</v>
      </c>
      <c r="I203" s="2">
        <f>'Client 4'!Z31</f>
        <v>0</v>
      </c>
      <c r="J203" s="2">
        <f>'Client 4'!AA31</f>
        <v>0</v>
      </c>
      <c r="K203" s="2">
        <f>'Client 4'!AB31</f>
        <v>0</v>
      </c>
      <c r="L203" s="2" cm="1">
        <f t="array" aca="1" ref="L203" ca="1">IF(B203=0,0,INDIRECT("MRN_"&amp;A203))</f>
        <v>0</v>
      </c>
      <c r="M203" s="2">
        <f t="shared" si="78"/>
        <v>0</v>
      </c>
      <c r="N203" s="2" t="str">
        <f t="shared" si="79"/>
        <v>No</v>
      </c>
      <c r="O203" s="2" t="str">
        <f t="shared" si="80"/>
        <v>No</v>
      </c>
      <c r="P203" s="2" t="str" cm="1">
        <f t="array" aca="1" ref="P203" ca="1">IF(OR(INDIRECT("MRN_"&amp;A203)="N/A",B203=0),"No","Yes")</f>
        <v>No</v>
      </c>
    </row>
    <row r="204" spans="1:16" x14ac:dyDescent="0.2">
      <c r="A204" s="68">
        <v>4</v>
      </c>
      <c r="B204" s="349">
        <f>'Client 4'!S32</f>
        <v>0</v>
      </c>
      <c r="C204" s="2">
        <f>'Client 4'!T32</f>
        <v>0</v>
      </c>
      <c r="D204" s="2">
        <f>'Client 4'!U32</f>
        <v>0</v>
      </c>
      <c r="E204" s="2">
        <f>'Client 4'!V32</f>
        <v>0</v>
      </c>
      <c r="F204" s="350">
        <f>'Client 4'!W32</f>
        <v>0</v>
      </c>
      <c r="G204" s="2">
        <f>'Client 4'!X32</f>
        <v>0</v>
      </c>
      <c r="H204" s="2">
        <f>'Client 4'!Y32</f>
        <v>0</v>
      </c>
      <c r="I204" s="2">
        <f>'Client 4'!Z32</f>
        <v>0</v>
      </c>
      <c r="J204" s="2">
        <f>'Client 4'!AA32</f>
        <v>0</v>
      </c>
      <c r="K204" s="2">
        <f>'Client 4'!AB32</f>
        <v>0</v>
      </c>
      <c r="L204" s="2" cm="1">
        <f t="array" aca="1" ref="L204" ca="1">IF(B204=0,0,INDIRECT("MRN_"&amp;A204))</f>
        <v>0</v>
      </c>
      <c r="M204" s="2">
        <f t="shared" si="78"/>
        <v>0</v>
      </c>
      <c r="N204" s="2" t="str">
        <f t="shared" si="79"/>
        <v>No</v>
      </c>
      <c r="O204" s="2" t="str">
        <f t="shared" si="80"/>
        <v>No</v>
      </c>
      <c r="P204" s="2" t="str" cm="1">
        <f t="array" aca="1" ref="P204" ca="1">IF(OR(INDIRECT("MRN_"&amp;A204)="N/A",B204=0),"No","Yes")</f>
        <v>No</v>
      </c>
    </row>
    <row r="205" spans="1:16" x14ac:dyDescent="0.2">
      <c r="A205" s="68">
        <v>4</v>
      </c>
      <c r="B205" s="349">
        <f>'Client 4'!S33</f>
        <v>0</v>
      </c>
      <c r="C205" s="2">
        <f>'Client 4'!T33</f>
        <v>0</v>
      </c>
      <c r="D205" s="2">
        <f>'Client 4'!U33</f>
        <v>0</v>
      </c>
      <c r="E205" s="2">
        <f>'Client 4'!V33</f>
        <v>0</v>
      </c>
      <c r="F205" s="350">
        <f>'Client 4'!W33</f>
        <v>0</v>
      </c>
      <c r="G205" s="2">
        <f>'Client 4'!X33</f>
        <v>0</v>
      </c>
      <c r="H205" s="2">
        <f>'Client 4'!Y33</f>
        <v>0</v>
      </c>
      <c r="I205" s="2">
        <f>'Client 4'!Z33</f>
        <v>0</v>
      </c>
      <c r="J205" s="2">
        <f>'Client 4'!AA33</f>
        <v>0</v>
      </c>
      <c r="K205" s="2">
        <f>'Client 4'!AB33</f>
        <v>0</v>
      </c>
      <c r="L205" s="2" cm="1">
        <f t="array" aca="1" ref="L205" ca="1">IF(B205=0,0,INDIRECT("MRN_"&amp;A205))</f>
        <v>0</v>
      </c>
      <c r="M205" s="2">
        <f t="shared" si="78"/>
        <v>0</v>
      </c>
      <c r="N205" s="2" t="str">
        <f t="shared" si="79"/>
        <v>No</v>
      </c>
      <c r="O205" s="2" t="str">
        <f t="shared" si="80"/>
        <v>No</v>
      </c>
      <c r="P205" s="2" t="str" cm="1">
        <f t="array" aca="1" ref="P205" ca="1">IF(OR(INDIRECT("MRN_"&amp;A205)="N/A",B205=0),"No","Yes")</f>
        <v>No</v>
      </c>
    </row>
    <row r="206" spans="1:16" x14ac:dyDescent="0.2">
      <c r="A206" s="68">
        <v>4</v>
      </c>
      <c r="B206" s="349">
        <f>'Client 4'!S34</f>
        <v>0</v>
      </c>
      <c r="C206" s="2">
        <f>'Client 4'!T34</f>
        <v>0</v>
      </c>
      <c r="D206" s="2">
        <f>'Client 4'!U34</f>
        <v>0</v>
      </c>
      <c r="E206" s="2">
        <f>'Client 4'!V34</f>
        <v>0</v>
      </c>
      <c r="F206" s="350">
        <f>'Client 4'!W34</f>
        <v>0</v>
      </c>
      <c r="G206" s="2">
        <f>'Client 4'!X34</f>
        <v>0</v>
      </c>
      <c r="H206" s="2">
        <f>'Client 4'!Y34</f>
        <v>0</v>
      </c>
      <c r="I206" s="2">
        <f>'Client 4'!Z34</f>
        <v>0</v>
      </c>
      <c r="J206" s="2">
        <f>'Client 4'!AA34</f>
        <v>0</v>
      </c>
      <c r="K206" s="2">
        <f>'Client 4'!AB34</f>
        <v>0</v>
      </c>
      <c r="L206" s="2" cm="1">
        <f t="array" aca="1" ref="L206" ca="1">IF(B206=0,0,INDIRECT("MRN_"&amp;A206))</f>
        <v>0</v>
      </c>
      <c r="M206" s="2">
        <f t="shared" si="78"/>
        <v>0</v>
      </c>
      <c r="N206" s="2" t="str">
        <f t="shared" si="79"/>
        <v>No</v>
      </c>
      <c r="O206" s="2" t="str">
        <f t="shared" si="80"/>
        <v>No</v>
      </c>
      <c r="P206" s="2" t="str" cm="1">
        <f t="array" aca="1" ref="P206" ca="1">IF(OR(INDIRECT("MRN_"&amp;A206)="N/A",B206=0),"No","Yes")</f>
        <v>No</v>
      </c>
    </row>
    <row r="207" spans="1:16" x14ac:dyDescent="0.2">
      <c r="A207" s="68">
        <v>4</v>
      </c>
      <c r="B207" s="349">
        <f>'Client 4'!S35</f>
        <v>0</v>
      </c>
      <c r="C207" s="2">
        <f>'Client 4'!T35</f>
        <v>0</v>
      </c>
      <c r="D207" s="2">
        <f>'Client 4'!U35</f>
        <v>0</v>
      </c>
      <c r="E207" s="2">
        <f>'Client 4'!V35</f>
        <v>0</v>
      </c>
      <c r="F207" s="350">
        <f>'Client 4'!W35</f>
        <v>0</v>
      </c>
      <c r="G207" s="2">
        <f>'Client 4'!X35</f>
        <v>0</v>
      </c>
      <c r="H207" s="2">
        <f>'Client 4'!Y35</f>
        <v>0</v>
      </c>
      <c r="I207" s="2">
        <f>'Client 4'!Z35</f>
        <v>0</v>
      </c>
      <c r="J207" s="2">
        <f>'Client 4'!AA35</f>
        <v>0</v>
      </c>
      <c r="K207" s="2">
        <f>'Client 4'!AB35</f>
        <v>0</v>
      </c>
      <c r="L207" s="2" cm="1">
        <f t="array" aca="1" ref="L207" ca="1">IF(B207=0,0,INDIRECT("MRN_"&amp;A207))</f>
        <v>0</v>
      </c>
      <c r="M207" s="2">
        <f t="shared" si="78"/>
        <v>0</v>
      </c>
      <c r="N207" s="2" t="str">
        <f t="shared" si="79"/>
        <v>No</v>
      </c>
      <c r="O207" s="2" t="str">
        <f t="shared" si="80"/>
        <v>No</v>
      </c>
      <c r="P207" s="2" t="str" cm="1">
        <f t="array" aca="1" ref="P207" ca="1">IF(OR(INDIRECT("MRN_"&amp;A207)="N/A",B207=0),"No","Yes")</f>
        <v>No</v>
      </c>
    </row>
    <row r="208" spans="1:16" x14ac:dyDescent="0.2">
      <c r="A208" s="68">
        <v>4</v>
      </c>
      <c r="B208" s="349">
        <f>'Client 4'!S36</f>
        <v>0</v>
      </c>
      <c r="C208" s="2">
        <f>'Client 4'!T36</f>
        <v>0</v>
      </c>
      <c r="D208" s="2">
        <f>'Client 4'!U36</f>
        <v>0</v>
      </c>
      <c r="E208" s="2">
        <f>'Client 4'!V36</f>
        <v>0</v>
      </c>
      <c r="F208" s="350">
        <f>'Client 4'!W36</f>
        <v>0</v>
      </c>
      <c r="G208" s="2">
        <f>'Client 4'!X36</f>
        <v>0</v>
      </c>
      <c r="H208" s="2">
        <f>'Client 4'!Y36</f>
        <v>0</v>
      </c>
      <c r="I208" s="2">
        <f>'Client 4'!Z36</f>
        <v>0</v>
      </c>
      <c r="J208" s="2">
        <f>'Client 4'!AA36</f>
        <v>0</v>
      </c>
      <c r="K208" s="2">
        <f>'Client 4'!AB36</f>
        <v>0</v>
      </c>
      <c r="L208" s="2" cm="1">
        <f t="array" aca="1" ref="L208" ca="1">IF(B208=0,0,INDIRECT("MRN_"&amp;A208))</f>
        <v>0</v>
      </c>
      <c r="M208" s="2">
        <f t="shared" si="78"/>
        <v>0</v>
      </c>
      <c r="N208" s="2" t="str">
        <f t="shared" si="79"/>
        <v>No</v>
      </c>
      <c r="O208" s="2" t="str">
        <f t="shared" si="80"/>
        <v>No</v>
      </c>
      <c r="P208" s="2" t="str" cm="1">
        <f t="array" aca="1" ref="P208" ca="1">IF(OR(INDIRECT("MRN_"&amp;A208)="N/A",B208=0),"No","Yes")</f>
        <v>No</v>
      </c>
    </row>
    <row r="209" spans="1:16" x14ac:dyDescent="0.2">
      <c r="A209" s="68">
        <v>4</v>
      </c>
      <c r="B209" s="349">
        <f>'Client 4'!S37</f>
        <v>0</v>
      </c>
      <c r="C209" s="2">
        <f>'Client 4'!T37</f>
        <v>0</v>
      </c>
      <c r="D209" s="2">
        <f>'Client 4'!U37</f>
        <v>0</v>
      </c>
      <c r="E209" s="2">
        <f>'Client 4'!V37</f>
        <v>0</v>
      </c>
      <c r="F209" s="350">
        <f>'Client 4'!W37</f>
        <v>0</v>
      </c>
      <c r="G209" s="2">
        <f>'Client 4'!X37</f>
        <v>0</v>
      </c>
      <c r="H209" s="2">
        <f>'Client 4'!Y37</f>
        <v>0</v>
      </c>
      <c r="I209" s="2">
        <f>'Client 4'!Z37</f>
        <v>0</v>
      </c>
      <c r="J209" s="2">
        <f>'Client 4'!AA37</f>
        <v>0</v>
      </c>
      <c r="K209" s="2">
        <f>'Client 4'!AB37</f>
        <v>0</v>
      </c>
      <c r="L209" s="2" cm="1">
        <f t="array" aca="1" ref="L209" ca="1">IF(B209=0,0,INDIRECT("MRN_"&amp;A209))</f>
        <v>0</v>
      </c>
      <c r="M209" s="2">
        <f t="shared" si="78"/>
        <v>0</v>
      </c>
      <c r="N209" s="2" t="str">
        <f t="shared" si="79"/>
        <v>No</v>
      </c>
      <c r="O209" s="2" t="str">
        <f t="shared" si="80"/>
        <v>No</v>
      </c>
      <c r="P209" s="2" t="str" cm="1">
        <f t="array" aca="1" ref="P209" ca="1">IF(OR(INDIRECT("MRN_"&amp;A209)="N/A",B209=0),"No","Yes")</f>
        <v>No</v>
      </c>
    </row>
    <row r="210" spans="1:16" x14ac:dyDescent="0.2">
      <c r="A210" s="68">
        <v>4</v>
      </c>
      <c r="B210" s="349">
        <f>'Client 4'!S38</f>
        <v>0</v>
      </c>
      <c r="C210" s="2">
        <f>'Client 4'!T38</f>
        <v>0</v>
      </c>
      <c r="D210" s="2">
        <f>'Client 4'!U38</f>
        <v>0</v>
      </c>
      <c r="E210" s="2">
        <f>'Client 4'!V38</f>
        <v>0</v>
      </c>
      <c r="F210" s="350">
        <f>'Client 4'!W38</f>
        <v>0</v>
      </c>
      <c r="G210" s="2">
        <f>'Client 4'!X38</f>
        <v>0</v>
      </c>
      <c r="H210" s="2">
        <f>'Client 4'!Y38</f>
        <v>0</v>
      </c>
      <c r="I210" s="2">
        <f>'Client 4'!Z38</f>
        <v>0</v>
      </c>
      <c r="J210" s="2">
        <f>'Client 4'!AA38</f>
        <v>0</v>
      </c>
      <c r="K210" s="2">
        <f>'Client 4'!AB38</f>
        <v>0</v>
      </c>
      <c r="L210" s="2" cm="1">
        <f t="array" aca="1" ref="L210" ca="1">IF(B210=0,0,INDIRECT("MRN_"&amp;A210))</f>
        <v>0</v>
      </c>
      <c r="M210" s="2">
        <f t="shared" si="78"/>
        <v>0</v>
      </c>
      <c r="N210" s="2" t="str">
        <f t="shared" si="79"/>
        <v>No</v>
      </c>
      <c r="O210" s="2" t="str">
        <f t="shared" si="80"/>
        <v>No</v>
      </c>
      <c r="P210" s="2" t="str" cm="1">
        <f t="array" aca="1" ref="P210" ca="1">IF(OR(INDIRECT("MRN_"&amp;A210)="N/A",B210=0),"No","Yes")</f>
        <v>No</v>
      </c>
    </row>
    <row r="211" spans="1:16" x14ac:dyDescent="0.2">
      <c r="A211" s="68">
        <v>5</v>
      </c>
      <c r="B211" s="349">
        <f>'Client 5'!S9</f>
        <v>0</v>
      </c>
      <c r="C211" s="2">
        <f>'Client 5'!T9</f>
        <v>0</v>
      </c>
      <c r="D211" s="2">
        <f>'Client 5'!U9</f>
        <v>0</v>
      </c>
      <c r="E211" s="2">
        <f>'Client 5'!V9</f>
        <v>0</v>
      </c>
      <c r="F211" s="350">
        <f>'Client 5'!W9</f>
        <v>0</v>
      </c>
      <c r="G211" s="2">
        <f>'Client 5'!X9</f>
        <v>0</v>
      </c>
      <c r="H211" s="2">
        <f>'Client 5'!Y9</f>
        <v>0</v>
      </c>
      <c r="I211" s="2">
        <f>'Client 5'!Z9</f>
        <v>0</v>
      </c>
      <c r="J211" s="2">
        <f>'Client 5'!AA9</f>
        <v>0</v>
      </c>
      <c r="K211" s="2">
        <f>'Client 5'!AB9</f>
        <v>0</v>
      </c>
      <c r="L211" s="2" cm="1">
        <f t="array" aca="1" ref="L211" ca="1">IF(B211=0,0,INDIRECT("MRN_"&amp;A211))</f>
        <v>0</v>
      </c>
      <c r="M211" s="2">
        <f t="shared" si="78"/>
        <v>0</v>
      </c>
      <c r="N211" s="2" t="str">
        <f t="shared" si="79"/>
        <v>No</v>
      </c>
      <c r="O211" s="2" t="str">
        <f t="shared" si="80"/>
        <v>No</v>
      </c>
      <c r="P211" s="2" t="str" cm="1">
        <f t="array" aca="1" ref="P211" ca="1">IF(OR(INDIRECT("MRN_"&amp;A211)="N/A",B211=0),"No","Yes")</f>
        <v>No</v>
      </c>
    </row>
    <row r="212" spans="1:16" x14ac:dyDescent="0.2">
      <c r="A212" s="68">
        <v>5</v>
      </c>
      <c r="B212" s="349">
        <f>'Client 5'!S10</f>
        <v>0</v>
      </c>
      <c r="C212" s="2">
        <f>'Client 5'!T10</f>
        <v>0</v>
      </c>
      <c r="D212" s="2">
        <f>'Client 5'!U10</f>
        <v>0</v>
      </c>
      <c r="E212" s="2">
        <f>'Client 5'!V10</f>
        <v>0</v>
      </c>
      <c r="F212" s="350">
        <f>'Client 5'!W10</f>
        <v>0</v>
      </c>
      <c r="G212" s="2">
        <f>'Client 5'!X10</f>
        <v>0</v>
      </c>
      <c r="H212" s="2">
        <f>'Client 5'!Y10</f>
        <v>0</v>
      </c>
      <c r="I212" s="2">
        <f>'Client 5'!Z10</f>
        <v>0</v>
      </c>
      <c r="J212" s="2">
        <f>'Client 5'!AA10</f>
        <v>0</v>
      </c>
      <c r="K212" s="2">
        <f>'Client 5'!AB10</f>
        <v>0</v>
      </c>
      <c r="L212" s="2" cm="1">
        <f t="array" aca="1" ref="L212" ca="1">IF(B212=0,0,INDIRECT("MRN_"&amp;A212))</f>
        <v>0</v>
      </c>
      <c r="M212" s="2">
        <f t="shared" si="78"/>
        <v>0</v>
      </c>
      <c r="N212" s="2" t="str">
        <f t="shared" si="79"/>
        <v>No</v>
      </c>
      <c r="O212" s="2" t="str">
        <f t="shared" si="80"/>
        <v>No</v>
      </c>
      <c r="P212" s="2" t="str" cm="1">
        <f t="array" aca="1" ref="P212" ca="1">IF(OR(INDIRECT("MRN_"&amp;A212)="N/A",B212=0),"No","Yes")</f>
        <v>No</v>
      </c>
    </row>
    <row r="213" spans="1:16" x14ac:dyDescent="0.2">
      <c r="A213" s="68">
        <v>5</v>
      </c>
      <c r="B213" s="349">
        <f>'Client 5'!S11</f>
        <v>0</v>
      </c>
      <c r="C213" s="2">
        <f>'Client 5'!T11</f>
        <v>0</v>
      </c>
      <c r="D213" s="2">
        <f>'Client 5'!U11</f>
        <v>0</v>
      </c>
      <c r="E213" s="2">
        <f>'Client 5'!V11</f>
        <v>0</v>
      </c>
      <c r="F213" s="350">
        <f>'Client 5'!W11</f>
        <v>0</v>
      </c>
      <c r="G213" s="2">
        <f>'Client 5'!X11</f>
        <v>0</v>
      </c>
      <c r="H213" s="2">
        <f>'Client 5'!Y11</f>
        <v>0</v>
      </c>
      <c r="I213" s="2">
        <f>'Client 5'!Z11</f>
        <v>0</v>
      </c>
      <c r="J213" s="2">
        <f>'Client 5'!AA11</f>
        <v>0</v>
      </c>
      <c r="K213" s="2">
        <f>'Client 5'!AB11</f>
        <v>0</v>
      </c>
      <c r="L213" s="2" cm="1">
        <f t="array" aca="1" ref="L213" ca="1">IF(B213=0,0,INDIRECT("MRN_"&amp;A213))</f>
        <v>0</v>
      </c>
      <c r="M213" s="2">
        <f t="shared" si="78"/>
        <v>0</v>
      </c>
      <c r="N213" s="2" t="str">
        <f t="shared" si="79"/>
        <v>No</v>
      </c>
      <c r="O213" s="2" t="str">
        <f t="shared" si="80"/>
        <v>No</v>
      </c>
      <c r="P213" s="2" t="str" cm="1">
        <f t="array" aca="1" ref="P213" ca="1">IF(OR(INDIRECT("MRN_"&amp;A213)="N/A",B213=0),"No","Yes")</f>
        <v>No</v>
      </c>
    </row>
    <row r="214" spans="1:16" x14ac:dyDescent="0.2">
      <c r="A214" s="68">
        <v>5</v>
      </c>
      <c r="B214" s="349">
        <f>'Client 5'!S12</f>
        <v>0</v>
      </c>
      <c r="C214" s="2">
        <f>'Client 5'!T12</f>
        <v>0</v>
      </c>
      <c r="D214" s="2">
        <f>'Client 5'!U12</f>
        <v>0</v>
      </c>
      <c r="E214" s="2">
        <f>'Client 5'!V12</f>
        <v>0</v>
      </c>
      <c r="F214" s="350">
        <f>'Client 5'!W12</f>
        <v>0</v>
      </c>
      <c r="G214" s="2">
        <f>'Client 5'!X12</f>
        <v>0</v>
      </c>
      <c r="H214" s="2">
        <f>'Client 5'!Y12</f>
        <v>0</v>
      </c>
      <c r="I214" s="2">
        <f>'Client 5'!Z12</f>
        <v>0</v>
      </c>
      <c r="J214" s="2">
        <f>'Client 5'!AA12</f>
        <v>0</v>
      </c>
      <c r="K214" s="2">
        <f>'Client 5'!AB12</f>
        <v>0</v>
      </c>
      <c r="L214" s="2" cm="1">
        <f t="array" aca="1" ref="L214" ca="1">IF(B214=0,0,INDIRECT("MRN_"&amp;A214))</f>
        <v>0</v>
      </c>
      <c r="M214" s="2">
        <f t="shared" si="78"/>
        <v>0</v>
      </c>
      <c r="N214" s="2" t="str">
        <f t="shared" si="79"/>
        <v>No</v>
      </c>
      <c r="O214" s="2" t="str">
        <f t="shared" si="80"/>
        <v>No</v>
      </c>
      <c r="P214" s="2" t="str" cm="1">
        <f t="array" aca="1" ref="P214" ca="1">IF(OR(INDIRECT("MRN_"&amp;A214)="N/A",B214=0),"No","Yes")</f>
        <v>No</v>
      </c>
    </row>
    <row r="215" spans="1:16" x14ac:dyDescent="0.2">
      <c r="A215" s="68">
        <v>5</v>
      </c>
      <c r="B215" s="349">
        <f>'Client 5'!S13</f>
        <v>0</v>
      </c>
      <c r="C215" s="2">
        <f>'Client 5'!T13</f>
        <v>0</v>
      </c>
      <c r="D215" s="2">
        <f>'Client 5'!U13</f>
        <v>0</v>
      </c>
      <c r="E215" s="2">
        <f>'Client 5'!V13</f>
        <v>0</v>
      </c>
      <c r="F215" s="350">
        <f>'Client 5'!W13</f>
        <v>0</v>
      </c>
      <c r="G215" s="2">
        <f>'Client 5'!X13</f>
        <v>0</v>
      </c>
      <c r="H215" s="2">
        <f>'Client 5'!Y13</f>
        <v>0</v>
      </c>
      <c r="I215" s="2">
        <f>'Client 5'!Z13</f>
        <v>0</v>
      </c>
      <c r="J215" s="2">
        <f>'Client 5'!AA13</f>
        <v>0</v>
      </c>
      <c r="K215" s="2">
        <f>'Client 5'!AB13</f>
        <v>0</v>
      </c>
      <c r="L215" s="2" cm="1">
        <f t="array" aca="1" ref="L215" ca="1">IF(B215=0,0,INDIRECT("MRN_"&amp;A215))</f>
        <v>0</v>
      </c>
      <c r="M215" s="2">
        <f t="shared" si="78"/>
        <v>0</v>
      </c>
      <c r="N215" s="2" t="str">
        <f t="shared" si="79"/>
        <v>No</v>
      </c>
      <c r="O215" s="2" t="str">
        <f t="shared" si="80"/>
        <v>No</v>
      </c>
      <c r="P215" s="2" t="str" cm="1">
        <f t="array" aca="1" ref="P215" ca="1">IF(OR(INDIRECT("MRN_"&amp;A215)="N/A",B215=0),"No","Yes")</f>
        <v>No</v>
      </c>
    </row>
    <row r="216" spans="1:16" x14ac:dyDescent="0.2">
      <c r="A216" s="68">
        <v>5</v>
      </c>
      <c r="B216" s="349">
        <f>'Client 5'!S14</f>
        <v>0</v>
      </c>
      <c r="C216" s="2">
        <f>'Client 5'!T14</f>
        <v>0</v>
      </c>
      <c r="D216" s="2">
        <f>'Client 5'!U14</f>
        <v>0</v>
      </c>
      <c r="E216" s="2">
        <f>'Client 5'!V14</f>
        <v>0</v>
      </c>
      <c r="F216" s="350">
        <f>'Client 5'!W14</f>
        <v>0</v>
      </c>
      <c r="G216" s="2">
        <f>'Client 5'!X14</f>
        <v>0</v>
      </c>
      <c r="H216" s="2">
        <f>'Client 5'!Y14</f>
        <v>0</v>
      </c>
      <c r="I216" s="2">
        <f>'Client 5'!Z14</f>
        <v>0</v>
      </c>
      <c r="J216" s="2">
        <f>'Client 5'!AA14</f>
        <v>0</v>
      </c>
      <c r="K216" s="2">
        <f>'Client 5'!AB14</f>
        <v>0</v>
      </c>
      <c r="L216" s="2" cm="1">
        <f t="array" aca="1" ref="L216" ca="1">IF(B216=0,0,INDIRECT("MRN_"&amp;A216))</f>
        <v>0</v>
      </c>
      <c r="M216" s="2">
        <f t="shared" si="78"/>
        <v>0</v>
      </c>
      <c r="N216" s="2" t="str">
        <f t="shared" si="79"/>
        <v>No</v>
      </c>
      <c r="O216" s="2" t="str">
        <f t="shared" si="80"/>
        <v>No</v>
      </c>
      <c r="P216" s="2" t="str" cm="1">
        <f t="array" aca="1" ref="P216" ca="1">IF(OR(INDIRECT("MRN_"&amp;A216)="N/A",B216=0),"No","Yes")</f>
        <v>No</v>
      </c>
    </row>
    <row r="217" spans="1:16" x14ac:dyDescent="0.2">
      <c r="A217" s="68">
        <v>5</v>
      </c>
      <c r="B217" s="349">
        <f>'Client 5'!S15</f>
        <v>0</v>
      </c>
      <c r="C217" s="2">
        <f>'Client 5'!T15</f>
        <v>0</v>
      </c>
      <c r="D217" s="2">
        <f>'Client 5'!U15</f>
        <v>0</v>
      </c>
      <c r="E217" s="2">
        <f>'Client 5'!V15</f>
        <v>0</v>
      </c>
      <c r="F217" s="350">
        <f>'Client 5'!W15</f>
        <v>0</v>
      </c>
      <c r="G217" s="2">
        <f>'Client 5'!X15</f>
        <v>0</v>
      </c>
      <c r="H217" s="2">
        <f>'Client 5'!Y15</f>
        <v>0</v>
      </c>
      <c r="I217" s="2">
        <f>'Client 5'!Z15</f>
        <v>0</v>
      </c>
      <c r="J217" s="2">
        <f>'Client 5'!AA15</f>
        <v>0</v>
      </c>
      <c r="K217" s="2">
        <f>'Client 5'!AB15</f>
        <v>0</v>
      </c>
      <c r="L217" s="2" cm="1">
        <f t="array" aca="1" ref="L217" ca="1">IF(B217=0,0,INDIRECT("MRN_"&amp;A217))</f>
        <v>0</v>
      </c>
      <c r="M217" s="2">
        <f t="shared" si="78"/>
        <v>0</v>
      </c>
      <c r="N217" s="2" t="str">
        <f t="shared" si="79"/>
        <v>No</v>
      </c>
      <c r="O217" s="2" t="str">
        <f t="shared" si="80"/>
        <v>No</v>
      </c>
      <c r="P217" s="2" t="str" cm="1">
        <f t="array" aca="1" ref="P217" ca="1">IF(OR(INDIRECT("MRN_"&amp;A217)="N/A",B217=0),"No","Yes")</f>
        <v>No</v>
      </c>
    </row>
    <row r="218" spans="1:16" x14ac:dyDescent="0.2">
      <c r="A218" s="68">
        <v>5</v>
      </c>
      <c r="B218" s="349">
        <f>'Client 5'!S16</f>
        <v>0</v>
      </c>
      <c r="C218" s="2">
        <f>'Client 5'!T16</f>
        <v>0</v>
      </c>
      <c r="D218" s="2">
        <f>'Client 5'!U16</f>
        <v>0</v>
      </c>
      <c r="E218" s="2">
        <f>'Client 5'!V16</f>
        <v>0</v>
      </c>
      <c r="F218" s="350">
        <f>'Client 5'!W16</f>
        <v>0</v>
      </c>
      <c r="G218" s="2">
        <f>'Client 5'!X16</f>
        <v>0</v>
      </c>
      <c r="H218" s="2">
        <f>'Client 5'!Y16</f>
        <v>0</v>
      </c>
      <c r="I218" s="2">
        <f>'Client 5'!Z16</f>
        <v>0</v>
      </c>
      <c r="J218" s="2">
        <f>'Client 5'!AA16</f>
        <v>0</v>
      </c>
      <c r="K218" s="2">
        <f>'Client 5'!AB16</f>
        <v>0</v>
      </c>
      <c r="L218" s="2" cm="1">
        <f t="array" aca="1" ref="L218" ca="1">IF(B218=0,0,INDIRECT("MRN_"&amp;A218))</f>
        <v>0</v>
      </c>
      <c r="M218" s="2">
        <f t="shared" si="78"/>
        <v>0</v>
      </c>
      <c r="N218" s="2" t="str">
        <f t="shared" si="79"/>
        <v>No</v>
      </c>
      <c r="O218" s="2" t="str">
        <f t="shared" si="80"/>
        <v>No</v>
      </c>
      <c r="P218" s="2" t="str" cm="1">
        <f t="array" aca="1" ref="P218" ca="1">IF(OR(INDIRECT("MRN_"&amp;A218)="N/A",B218=0),"No","Yes")</f>
        <v>No</v>
      </c>
    </row>
    <row r="219" spans="1:16" x14ac:dyDescent="0.2">
      <c r="A219" s="68">
        <v>5</v>
      </c>
      <c r="B219" s="349">
        <f>'Client 5'!S17</f>
        <v>0</v>
      </c>
      <c r="C219" s="2">
        <f>'Client 5'!T17</f>
        <v>0</v>
      </c>
      <c r="D219" s="2">
        <f>'Client 5'!U17</f>
        <v>0</v>
      </c>
      <c r="E219" s="2">
        <f>'Client 5'!V17</f>
        <v>0</v>
      </c>
      <c r="F219" s="350">
        <f>'Client 5'!W17</f>
        <v>0</v>
      </c>
      <c r="G219" s="2">
        <f>'Client 5'!X17</f>
        <v>0</v>
      </c>
      <c r="H219" s="2">
        <f>'Client 5'!Y17</f>
        <v>0</v>
      </c>
      <c r="I219" s="2">
        <f>'Client 5'!Z17</f>
        <v>0</v>
      </c>
      <c r="J219" s="2">
        <f>'Client 5'!AA17</f>
        <v>0</v>
      </c>
      <c r="K219" s="2">
        <f>'Client 5'!AB17</f>
        <v>0</v>
      </c>
      <c r="L219" s="2" cm="1">
        <f t="array" aca="1" ref="L219" ca="1">IF(B219=0,0,INDIRECT("MRN_"&amp;A219))</f>
        <v>0</v>
      </c>
      <c r="M219" s="2">
        <f t="shared" si="78"/>
        <v>0</v>
      </c>
      <c r="N219" s="2" t="str">
        <f t="shared" si="79"/>
        <v>No</v>
      </c>
      <c r="O219" s="2" t="str">
        <f t="shared" si="80"/>
        <v>No</v>
      </c>
      <c r="P219" s="2" t="str" cm="1">
        <f t="array" aca="1" ref="P219" ca="1">IF(OR(INDIRECT("MRN_"&amp;A219)="N/A",B219=0),"No","Yes")</f>
        <v>No</v>
      </c>
    </row>
    <row r="220" spans="1:16" x14ac:dyDescent="0.2">
      <c r="A220" s="68">
        <v>5</v>
      </c>
      <c r="B220" s="349">
        <f>'Client 5'!S18</f>
        <v>0</v>
      </c>
      <c r="C220" s="2">
        <f>'Client 5'!T18</f>
        <v>0</v>
      </c>
      <c r="D220" s="2">
        <f>'Client 5'!U18</f>
        <v>0</v>
      </c>
      <c r="E220" s="2">
        <f>'Client 5'!V18</f>
        <v>0</v>
      </c>
      <c r="F220" s="350">
        <f>'Client 5'!W18</f>
        <v>0</v>
      </c>
      <c r="G220" s="2">
        <f>'Client 5'!X18</f>
        <v>0</v>
      </c>
      <c r="H220" s="2">
        <f>'Client 5'!Y18</f>
        <v>0</v>
      </c>
      <c r="I220" s="2">
        <f>'Client 5'!Z18</f>
        <v>0</v>
      </c>
      <c r="J220" s="2">
        <f>'Client 5'!AA18</f>
        <v>0</v>
      </c>
      <c r="K220" s="2">
        <f>'Client 5'!AB18</f>
        <v>0</v>
      </c>
      <c r="L220" s="2" cm="1">
        <f t="array" aca="1" ref="L220" ca="1">IF(B220=0,0,INDIRECT("MRN_"&amp;A220))</f>
        <v>0</v>
      </c>
      <c r="M220" s="2">
        <f t="shared" ref="M220:M283" si="81">IF(B220=0,0,"Client_"&amp;A220)</f>
        <v>0</v>
      </c>
      <c r="N220" s="2" t="str">
        <f t="shared" ref="N220:N283" si="82">IF(J220=0,"No","Yes")</f>
        <v>No</v>
      </c>
      <c r="O220" s="2" t="str">
        <f t="shared" ref="O220:O283" si="83">IF(I220=0,"No","Yes")</f>
        <v>No</v>
      </c>
      <c r="P220" s="2" t="str" cm="1">
        <f t="array" aca="1" ref="P220" ca="1">IF(OR(INDIRECT("MRN_"&amp;A220)="N/A",B220=0),"No","Yes")</f>
        <v>No</v>
      </c>
    </row>
    <row r="221" spans="1:16" x14ac:dyDescent="0.2">
      <c r="A221" s="68">
        <v>5</v>
      </c>
      <c r="B221" s="349">
        <f>'Client 5'!S19</f>
        <v>0</v>
      </c>
      <c r="C221" s="2">
        <f>'Client 5'!T19</f>
        <v>0</v>
      </c>
      <c r="D221" s="2">
        <f>'Client 5'!U19</f>
        <v>0</v>
      </c>
      <c r="E221" s="2">
        <f>'Client 5'!V19</f>
        <v>0</v>
      </c>
      <c r="F221" s="350">
        <f>'Client 5'!W19</f>
        <v>0</v>
      </c>
      <c r="G221" s="2">
        <f>'Client 5'!X19</f>
        <v>0</v>
      </c>
      <c r="H221" s="2">
        <f>'Client 5'!Y19</f>
        <v>0</v>
      </c>
      <c r="I221" s="2">
        <f>'Client 5'!Z19</f>
        <v>0</v>
      </c>
      <c r="J221" s="2">
        <f>'Client 5'!AA19</f>
        <v>0</v>
      </c>
      <c r="K221" s="2">
        <f>'Client 5'!AB19</f>
        <v>0</v>
      </c>
      <c r="L221" s="2" cm="1">
        <f t="array" aca="1" ref="L221" ca="1">IF(B221=0,0,INDIRECT("MRN_"&amp;A221))</f>
        <v>0</v>
      </c>
      <c r="M221" s="2">
        <f t="shared" si="81"/>
        <v>0</v>
      </c>
      <c r="N221" s="2" t="str">
        <f t="shared" si="82"/>
        <v>No</v>
      </c>
      <c r="O221" s="2" t="str">
        <f t="shared" si="83"/>
        <v>No</v>
      </c>
      <c r="P221" s="2" t="str" cm="1">
        <f t="array" aca="1" ref="P221" ca="1">IF(OR(INDIRECT("MRN_"&amp;A221)="N/A",B221=0),"No","Yes")</f>
        <v>No</v>
      </c>
    </row>
    <row r="222" spans="1:16" x14ac:dyDescent="0.2">
      <c r="A222" s="68">
        <v>5</v>
      </c>
      <c r="B222" s="349">
        <f>'Client 5'!S20</f>
        <v>0</v>
      </c>
      <c r="C222" s="2">
        <f>'Client 5'!T20</f>
        <v>0</v>
      </c>
      <c r="D222" s="2">
        <f>'Client 5'!U20</f>
        <v>0</v>
      </c>
      <c r="E222" s="2">
        <f>'Client 5'!V20</f>
        <v>0</v>
      </c>
      <c r="F222" s="350">
        <f>'Client 5'!W20</f>
        <v>0</v>
      </c>
      <c r="G222" s="2">
        <f>'Client 5'!X20</f>
        <v>0</v>
      </c>
      <c r="H222" s="2">
        <f>'Client 5'!Y20</f>
        <v>0</v>
      </c>
      <c r="I222" s="2">
        <f>'Client 5'!Z20</f>
        <v>0</v>
      </c>
      <c r="J222" s="2">
        <f>'Client 5'!AA20</f>
        <v>0</v>
      </c>
      <c r="K222" s="2">
        <f>'Client 5'!AB20</f>
        <v>0</v>
      </c>
      <c r="L222" s="2" cm="1">
        <f t="array" aca="1" ref="L222" ca="1">IF(B222=0,0,INDIRECT("MRN_"&amp;A222))</f>
        <v>0</v>
      </c>
      <c r="M222" s="2">
        <f t="shared" si="81"/>
        <v>0</v>
      </c>
      <c r="N222" s="2" t="str">
        <f t="shared" si="82"/>
        <v>No</v>
      </c>
      <c r="O222" s="2" t="str">
        <f t="shared" si="83"/>
        <v>No</v>
      </c>
      <c r="P222" s="2" t="str" cm="1">
        <f t="array" aca="1" ref="P222" ca="1">IF(OR(INDIRECT("MRN_"&amp;A222)="N/A",B222=0),"No","Yes")</f>
        <v>No</v>
      </c>
    </row>
    <row r="223" spans="1:16" x14ac:dyDescent="0.2">
      <c r="A223" s="68">
        <v>5</v>
      </c>
      <c r="B223" s="349">
        <f>'Client 5'!S21</f>
        <v>0</v>
      </c>
      <c r="C223" s="2">
        <f>'Client 5'!T21</f>
        <v>0</v>
      </c>
      <c r="D223" s="2">
        <f>'Client 5'!U21</f>
        <v>0</v>
      </c>
      <c r="E223" s="2">
        <f>'Client 5'!V21</f>
        <v>0</v>
      </c>
      <c r="F223" s="350">
        <f>'Client 5'!W21</f>
        <v>0</v>
      </c>
      <c r="G223" s="2">
        <f>'Client 5'!X21</f>
        <v>0</v>
      </c>
      <c r="H223" s="2">
        <f>'Client 5'!Y21</f>
        <v>0</v>
      </c>
      <c r="I223" s="2">
        <f>'Client 5'!Z21</f>
        <v>0</v>
      </c>
      <c r="J223" s="2">
        <f>'Client 5'!AA21</f>
        <v>0</v>
      </c>
      <c r="K223" s="2">
        <f>'Client 5'!AB21</f>
        <v>0</v>
      </c>
      <c r="L223" s="2" cm="1">
        <f t="array" aca="1" ref="L223" ca="1">IF(B223=0,0,INDIRECT("MRN_"&amp;A223))</f>
        <v>0</v>
      </c>
      <c r="M223" s="2">
        <f t="shared" si="81"/>
        <v>0</v>
      </c>
      <c r="N223" s="2" t="str">
        <f t="shared" si="82"/>
        <v>No</v>
      </c>
      <c r="O223" s="2" t="str">
        <f t="shared" si="83"/>
        <v>No</v>
      </c>
      <c r="P223" s="2" t="str" cm="1">
        <f t="array" aca="1" ref="P223" ca="1">IF(OR(INDIRECT("MRN_"&amp;A223)="N/A",B223=0),"No","Yes")</f>
        <v>No</v>
      </c>
    </row>
    <row r="224" spans="1:16" x14ac:dyDescent="0.2">
      <c r="A224" s="68">
        <v>5</v>
      </c>
      <c r="B224" s="349">
        <f>'Client 5'!S22</f>
        <v>0</v>
      </c>
      <c r="C224" s="2">
        <f>'Client 5'!T22</f>
        <v>0</v>
      </c>
      <c r="D224" s="2">
        <f>'Client 5'!U22</f>
        <v>0</v>
      </c>
      <c r="E224" s="2">
        <f>'Client 5'!V22</f>
        <v>0</v>
      </c>
      <c r="F224" s="350">
        <f>'Client 5'!W22</f>
        <v>0</v>
      </c>
      <c r="G224" s="2">
        <f>'Client 5'!X22</f>
        <v>0</v>
      </c>
      <c r="H224" s="2">
        <f>'Client 5'!Y22</f>
        <v>0</v>
      </c>
      <c r="I224" s="2">
        <f>'Client 5'!Z22</f>
        <v>0</v>
      </c>
      <c r="J224" s="2">
        <f>'Client 5'!AA22</f>
        <v>0</v>
      </c>
      <c r="K224" s="2">
        <f>'Client 5'!AB22</f>
        <v>0</v>
      </c>
      <c r="L224" s="2" cm="1">
        <f t="array" aca="1" ref="L224" ca="1">IF(B224=0,0,INDIRECT("MRN_"&amp;A224))</f>
        <v>0</v>
      </c>
      <c r="M224" s="2">
        <f t="shared" si="81"/>
        <v>0</v>
      </c>
      <c r="N224" s="2" t="str">
        <f t="shared" si="82"/>
        <v>No</v>
      </c>
      <c r="O224" s="2" t="str">
        <f t="shared" si="83"/>
        <v>No</v>
      </c>
      <c r="P224" s="2" t="str" cm="1">
        <f t="array" aca="1" ref="P224" ca="1">IF(OR(INDIRECT("MRN_"&amp;A224)="N/A",B224=0),"No","Yes")</f>
        <v>No</v>
      </c>
    </row>
    <row r="225" spans="1:16" x14ac:dyDescent="0.2">
      <c r="A225" s="68">
        <v>5</v>
      </c>
      <c r="B225" s="349">
        <f>'Client 5'!S23</f>
        <v>0</v>
      </c>
      <c r="C225" s="2">
        <f>'Client 5'!T23</f>
        <v>0</v>
      </c>
      <c r="D225" s="2">
        <f>'Client 5'!U23</f>
        <v>0</v>
      </c>
      <c r="E225" s="2">
        <f>'Client 5'!V23</f>
        <v>0</v>
      </c>
      <c r="F225" s="350">
        <f>'Client 5'!W23</f>
        <v>0</v>
      </c>
      <c r="G225" s="2">
        <f>'Client 5'!X23</f>
        <v>0</v>
      </c>
      <c r="H225" s="2">
        <f>'Client 5'!Y23</f>
        <v>0</v>
      </c>
      <c r="I225" s="2">
        <f>'Client 5'!Z23</f>
        <v>0</v>
      </c>
      <c r="J225" s="2">
        <f>'Client 5'!AA23</f>
        <v>0</v>
      </c>
      <c r="K225" s="2">
        <f>'Client 5'!AB23</f>
        <v>0</v>
      </c>
      <c r="L225" s="2" cm="1">
        <f t="array" aca="1" ref="L225" ca="1">IF(B225=0,0,INDIRECT("MRN_"&amp;A225))</f>
        <v>0</v>
      </c>
      <c r="M225" s="2">
        <f t="shared" si="81"/>
        <v>0</v>
      </c>
      <c r="N225" s="2" t="str">
        <f t="shared" si="82"/>
        <v>No</v>
      </c>
      <c r="O225" s="2" t="str">
        <f t="shared" si="83"/>
        <v>No</v>
      </c>
      <c r="P225" s="2" t="str" cm="1">
        <f t="array" aca="1" ref="P225" ca="1">IF(OR(INDIRECT("MRN_"&amp;A225)="N/A",B225=0),"No","Yes")</f>
        <v>No</v>
      </c>
    </row>
    <row r="226" spans="1:16" x14ac:dyDescent="0.2">
      <c r="A226" s="68">
        <v>5</v>
      </c>
      <c r="B226" s="349">
        <f>'Client 5'!S24</f>
        <v>0</v>
      </c>
      <c r="C226" s="2">
        <f>'Client 5'!T24</f>
        <v>0</v>
      </c>
      <c r="D226" s="2">
        <f>'Client 5'!U24</f>
        <v>0</v>
      </c>
      <c r="E226" s="2">
        <f>'Client 5'!V24</f>
        <v>0</v>
      </c>
      <c r="F226" s="350">
        <f>'Client 5'!W24</f>
        <v>0</v>
      </c>
      <c r="G226" s="2">
        <f>'Client 5'!X24</f>
        <v>0</v>
      </c>
      <c r="H226" s="2">
        <f>'Client 5'!Y24</f>
        <v>0</v>
      </c>
      <c r="I226" s="2">
        <f>'Client 5'!Z24</f>
        <v>0</v>
      </c>
      <c r="J226" s="2">
        <f>'Client 5'!AA24</f>
        <v>0</v>
      </c>
      <c r="K226" s="2">
        <f>'Client 5'!AB24</f>
        <v>0</v>
      </c>
      <c r="L226" s="2" cm="1">
        <f t="array" aca="1" ref="L226" ca="1">IF(B226=0,0,INDIRECT("MRN_"&amp;A226))</f>
        <v>0</v>
      </c>
      <c r="M226" s="2">
        <f t="shared" si="81"/>
        <v>0</v>
      </c>
      <c r="N226" s="2" t="str">
        <f t="shared" si="82"/>
        <v>No</v>
      </c>
      <c r="O226" s="2" t="str">
        <f t="shared" si="83"/>
        <v>No</v>
      </c>
      <c r="P226" s="2" t="str" cm="1">
        <f t="array" aca="1" ref="P226" ca="1">IF(OR(INDIRECT("MRN_"&amp;A226)="N/A",B226=0),"No","Yes")</f>
        <v>No</v>
      </c>
    </row>
    <row r="227" spans="1:16" x14ac:dyDescent="0.2">
      <c r="A227" s="68">
        <v>5</v>
      </c>
      <c r="B227" s="349">
        <f>'Client 5'!S25</f>
        <v>0</v>
      </c>
      <c r="C227" s="2">
        <f>'Client 5'!T25</f>
        <v>0</v>
      </c>
      <c r="D227" s="2">
        <f>'Client 5'!U25</f>
        <v>0</v>
      </c>
      <c r="E227" s="2">
        <f>'Client 5'!V25</f>
        <v>0</v>
      </c>
      <c r="F227" s="350">
        <f>'Client 5'!W25</f>
        <v>0</v>
      </c>
      <c r="G227" s="2">
        <f>'Client 5'!X25</f>
        <v>0</v>
      </c>
      <c r="H227" s="2">
        <f>'Client 5'!Y25</f>
        <v>0</v>
      </c>
      <c r="I227" s="2">
        <f>'Client 5'!Z25</f>
        <v>0</v>
      </c>
      <c r="J227" s="2">
        <f>'Client 5'!AA25</f>
        <v>0</v>
      </c>
      <c r="K227" s="2">
        <f>'Client 5'!AB25</f>
        <v>0</v>
      </c>
      <c r="L227" s="2" cm="1">
        <f t="array" aca="1" ref="L227" ca="1">IF(B227=0,0,INDIRECT("MRN_"&amp;A227))</f>
        <v>0</v>
      </c>
      <c r="M227" s="2">
        <f t="shared" si="81"/>
        <v>0</v>
      </c>
      <c r="N227" s="2" t="str">
        <f t="shared" si="82"/>
        <v>No</v>
      </c>
      <c r="O227" s="2" t="str">
        <f t="shared" si="83"/>
        <v>No</v>
      </c>
      <c r="P227" s="2" t="str" cm="1">
        <f t="array" aca="1" ref="P227" ca="1">IF(OR(INDIRECT("MRN_"&amp;A227)="N/A",B227=0),"No","Yes")</f>
        <v>No</v>
      </c>
    </row>
    <row r="228" spans="1:16" x14ac:dyDescent="0.2">
      <c r="A228" s="68">
        <v>5</v>
      </c>
      <c r="B228" s="349">
        <f>'Client 5'!S26</f>
        <v>0</v>
      </c>
      <c r="C228" s="2">
        <f>'Client 5'!T26</f>
        <v>0</v>
      </c>
      <c r="D228" s="2">
        <f>'Client 5'!U26</f>
        <v>0</v>
      </c>
      <c r="E228" s="2">
        <f>'Client 5'!V26</f>
        <v>0</v>
      </c>
      <c r="F228" s="350">
        <f>'Client 5'!W26</f>
        <v>0</v>
      </c>
      <c r="G228" s="2">
        <f>'Client 5'!X26</f>
        <v>0</v>
      </c>
      <c r="H228" s="2">
        <f>'Client 5'!Y26</f>
        <v>0</v>
      </c>
      <c r="I228" s="2">
        <f>'Client 5'!Z26</f>
        <v>0</v>
      </c>
      <c r="J228" s="2">
        <f>'Client 5'!AA26</f>
        <v>0</v>
      </c>
      <c r="K228" s="2">
        <f>'Client 5'!AB26</f>
        <v>0</v>
      </c>
      <c r="L228" s="2" cm="1">
        <f t="array" aca="1" ref="L228" ca="1">IF(B228=0,0,INDIRECT("MRN_"&amp;A228))</f>
        <v>0</v>
      </c>
      <c r="M228" s="2">
        <f t="shared" si="81"/>
        <v>0</v>
      </c>
      <c r="N228" s="2" t="str">
        <f t="shared" si="82"/>
        <v>No</v>
      </c>
      <c r="O228" s="2" t="str">
        <f t="shared" si="83"/>
        <v>No</v>
      </c>
      <c r="P228" s="2" t="str" cm="1">
        <f t="array" aca="1" ref="P228" ca="1">IF(OR(INDIRECT("MRN_"&amp;A228)="N/A",B228=0),"No","Yes")</f>
        <v>No</v>
      </c>
    </row>
    <row r="229" spans="1:16" x14ac:dyDescent="0.2">
      <c r="A229" s="68">
        <v>5</v>
      </c>
      <c r="B229" s="349">
        <f>'Client 5'!S27</f>
        <v>0</v>
      </c>
      <c r="C229" s="2">
        <f>'Client 5'!T27</f>
        <v>0</v>
      </c>
      <c r="D229" s="2">
        <f>'Client 5'!U27</f>
        <v>0</v>
      </c>
      <c r="E229" s="2">
        <f>'Client 5'!V27</f>
        <v>0</v>
      </c>
      <c r="F229" s="350">
        <f>'Client 5'!W27</f>
        <v>0</v>
      </c>
      <c r="G229" s="2">
        <f>'Client 5'!X27</f>
        <v>0</v>
      </c>
      <c r="H229" s="2">
        <f>'Client 5'!Y27</f>
        <v>0</v>
      </c>
      <c r="I229" s="2">
        <f>'Client 5'!Z27</f>
        <v>0</v>
      </c>
      <c r="J229" s="2">
        <f>'Client 5'!AA27</f>
        <v>0</v>
      </c>
      <c r="K229" s="2">
        <f>'Client 5'!AB27</f>
        <v>0</v>
      </c>
      <c r="L229" s="2" cm="1">
        <f t="array" aca="1" ref="L229" ca="1">IF(B229=0,0,INDIRECT("MRN_"&amp;A229))</f>
        <v>0</v>
      </c>
      <c r="M229" s="2">
        <f t="shared" si="81"/>
        <v>0</v>
      </c>
      <c r="N229" s="2" t="str">
        <f t="shared" si="82"/>
        <v>No</v>
      </c>
      <c r="O229" s="2" t="str">
        <f t="shared" si="83"/>
        <v>No</v>
      </c>
      <c r="P229" s="2" t="str" cm="1">
        <f t="array" aca="1" ref="P229" ca="1">IF(OR(INDIRECT("MRN_"&amp;A229)="N/A",B229=0),"No","Yes")</f>
        <v>No</v>
      </c>
    </row>
    <row r="230" spans="1:16" x14ac:dyDescent="0.2">
      <c r="A230" s="68">
        <v>5</v>
      </c>
      <c r="B230" s="349">
        <f>'Client 5'!S28</f>
        <v>0</v>
      </c>
      <c r="C230" s="2">
        <f>'Client 5'!T28</f>
        <v>0</v>
      </c>
      <c r="D230" s="2">
        <f>'Client 5'!U28</f>
        <v>0</v>
      </c>
      <c r="E230" s="2">
        <f>'Client 5'!V28</f>
        <v>0</v>
      </c>
      <c r="F230" s="350">
        <f>'Client 5'!W28</f>
        <v>0</v>
      </c>
      <c r="G230" s="2">
        <f>'Client 5'!X28</f>
        <v>0</v>
      </c>
      <c r="H230" s="2">
        <f>'Client 5'!Y28</f>
        <v>0</v>
      </c>
      <c r="I230" s="2">
        <f>'Client 5'!Z28</f>
        <v>0</v>
      </c>
      <c r="J230" s="2">
        <f>'Client 5'!AA28</f>
        <v>0</v>
      </c>
      <c r="K230" s="2">
        <f>'Client 5'!AB28</f>
        <v>0</v>
      </c>
      <c r="L230" s="2" cm="1">
        <f t="array" aca="1" ref="L230" ca="1">IF(B230=0,0,INDIRECT("MRN_"&amp;A230))</f>
        <v>0</v>
      </c>
      <c r="M230" s="2">
        <f t="shared" si="81"/>
        <v>0</v>
      </c>
      <c r="N230" s="2" t="str">
        <f t="shared" si="82"/>
        <v>No</v>
      </c>
      <c r="O230" s="2" t="str">
        <f t="shared" si="83"/>
        <v>No</v>
      </c>
      <c r="P230" s="2" t="str" cm="1">
        <f t="array" aca="1" ref="P230" ca="1">IF(OR(INDIRECT("MRN_"&amp;A230)="N/A",B230=0),"No","Yes")</f>
        <v>No</v>
      </c>
    </row>
    <row r="231" spans="1:16" x14ac:dyDescent="0.2">
      <c r="A231" s="68">
        <v>5</v>
      </c>
      <c r="B231" s="349">
        <f>'Client 5'!S29</f>
        <v>0</v>
      </c>
      <c r="C231" s="2">
        <f>'Client 5'!T29</f>
        <v>0</v>
      </c>
      <c r="D231" s="2">
        <f>'Client 5'!U29</f>
        <v>0</v>
      </c>
      <c r="E231" s="2">
        <f>'Client 5'!V29</f>
        <v>0</v>
      </c>
      <c r="F231" s="350">
        <f>'Client 5'!W29</f>
        <v>0</v>
      </c>
      <c r="G231" s="2">
        <f>'Client 5'!X29</f>
        <v>0</v>
      </c>
      <c r="H231" s="2">
        <f>'Client 5'!Y29</f>
        <v>0</v>
      </c>
      <c r="I231" s="2">
        <f>'Client 5'!Z29</f>
        <v>0</v>
      </c>
      <c r="J231" s="2">
        <f>'Client 5'!AA29</f>
        <v>0</v>
      </c>
      <c r="K231" s="2">
        <f>'Client 5'!AB29</f>
        <v>0</v>
      </c>
      <c r="L231" s="2" cm="1">
        <f t="array" aca="1" ref="L231" ca="1">IF(B231=0,0,INDIRECT("MRN_"&amp;A231))</f>
        <v>0</v>
      </c>
      <c r="M231" s="2">
        <f t="shared" si="81"/>
        <v>0</v>
      </c>
      <c r="N231" s="2" t="str">
        <f t="shared" si="82"/>
        <v>No</v>
      </c>
      <c r="O231" s="2" t="str">
        <f t="shared" si="83"/>
        <v>No</v>
      </c>
      <c r="P231" s="2" t="str" cm="1">
        <f t="array" aca="1" ref="P231" ca="1">IF(OR(INDIRECT("MRN_"&amp;A231)="N/A",B231=0),"No","Yes")</f>
        <v>No</v>
      </c>
    </row>
    <row r="232" spans="1:16" x14ac:dyDescent="0.2">
      <c r="A232" s="68">
        <v>5</v>
      </c>
      <c r="B232" s="349">
        <f>'Client 5'!S30</f>
        <v>0</v>
      </c>
      <c r="C232" s="2">
        <f>'Client 5'!T30</f>
        <v>0</v>
      </c>
      <c r="D232" s="2">
        <f>'Client 5'!U30</f>
        <v>0</v>
      </c>
      <c r="E232" s="2">
        <f>'Client 5'!V30</f>
        <v>0</v>
      </c>
      <c r="F232" s="350">
        <f>'Client 5'!W30</f>
        <v>0</v>
      </c>
      <c r="G232" s="2">
        <f>'Client 5'!X30</f>
        <v>0</v>
      </c>
      <c r="H232" s="2">
        <f>'Client 5'!Y30</f>
        <v>0</v>
      </c>
      <c r="I232" s="2">
        <f>'Client 5'!Z30</f>
        <v>0</v>
      </c>
      <c r="J232" s="2">
        <f>'Client 5'!AA30</f>
        <v>0</v>
      </c>
      <c r="K232" s="2">
        <f>'Client 5'!AB30</f>
        <v>0</v>
      </c>
      <c r="L232" s="2" cm="1">
        <f t="array" aca="1" ref="L232" ca="1">IF(B232=0,0,INDIRECT("MRN_"&amp;A232))</f>
        <v>0</v>
      </c>
      <c r="M232" s="2">
        <f t="shared" si="81"/>
        <v>0</v>
      </c>
      <c r="N232" s="2" t="str">
        <f t="shared" si="82"/>
        <v>No</v>
      </c>
      <c r="O232" s="2" t="str">
        <f t="shared" si="83"/>
        <v>No</v>
      </c>
      <c r="P232" s="2" t="str" cm="1">
        <f t="array" aca="1" ref="P232" ca="1">IF(OR(INDIRECT("MRN_"&amp;A232)="N/A",B232=0),"No","Yes")</f>
        <v>No</v>
      </c>
    </row>
    <row r="233" spans="1:16" x14ac:dyDescent="0.2">
      <c r="A233" s="68">
        <v>5</v>
      </c>
      <c r="B233" s="349">
        <f>'Client 5'!S31</f>
        <v>0</v>
      </c>
      <c r="C233" s="2">
        <f>'Client 5'!T31</f>
        <v>0</v>
      </c>
      <c r="D233" s="2">
        <f>'Client 5'!U31</f>
        <v>0</v>
      </c>
      <c r="E233" s="2">
        <f>'Client 5'!V31</f>
        <v>0</v>
      </c>
      <c r="F233" s="350">
        <f>'Client 5'!W31</f>
        <v>0</v>
      </c>
      <c r="G233" s="2">
        <f>'Client 5'!X31</f>
        <v>0</v>
      </c>
      <c r="H233" s="2">
        <f>'Client 5'!Y31</f>
        <v>0</v>
      </c>
      <c r="I233" s="2">
        <f>'Client 5'!Z31</f>
        <v>0</v>
      </c>
      <c r="J233" s="2">
        <f>'Client 5'!AA31</f>
        <v>0</v>
      </c>
      <c r="K233" s="2">
        <f>'Client 5'!AB31</f>
        <v>0</v>
      </c>
      <c r="L233" s="2" cm="1">
        <f t="array" aca="1" ref="L233" ca="1">IF(B233=0,0,INDIRECT("MRN_"&amp;A233))</f>
        <v>0</v>
      </c>
      <c r="M233" s="2">
        <f t="shared" si="81"/>
        <v>0</v>
      </c>
      <c r="N233" s="2" t="str">
        <f t="shared" si="82"/>
        <v>No</v>
      </c>
      <c r="O233" s="2" t="str">
        <f t="shared" si="83"/>
        <v>No</v>
      </c>
      <c r="P233" s="2" t="str" cm="1">
        <f t="array" aca="1" ref="P233" ca="1">IF(OR(INDIRECT("MRN_"&amp;A233)="N/A",B233=0),"No","Yes")</f>
        <v>No</v>
      </c>
    </row>
    <row r="234" spans="1:16" x14ac:dyDescent="0.2">
      <c r="A234" s="68">
        <v>5</v>
      </c>
      <c r="B234" s="349">
        <f>'Client 5'!S32</f>
        <v>0</v>
      </c>
      <c r="C234" s="2">
        <f>'Client 5'!T32</f>
        <v>0</v>
      </c>
      <c r="D234" s="2">
        <f>'Client 5'!U32</f>
        <v>0</v>
      </c>
      <c r="E234" s="2">
        <f>'Client 5'!V32</f>
        <v>0</v>
      </c>
      <c r="F234" s="350">
        <f>'Client 5'!W32</f>
        <v>0</v>
      </c>
      <c r="G234" s="2">
        <f>'Client 5'!X32</f>
        <v>0</v>
      </c>
      <c r="H234" s="2">
        <f>'Client 5'!Y32</f>
        <v>0</v>
      </c>
      <c r="I234" s="2">
        <f>'Client 5'!Z32</f>
        <v>0</v>
      </c>
      <c r="J234" s="2">
        <f>'Client 5'!AA32</f>
        <v>0</v>
      </c>
      <c r="K234" s="2">
        <f>'Client 5'!AB32</f>
        <v>0</v>
      </c>
      <c r="L234" s="2" cm="1">
        <f t="array" aca="1" ref="L234" ca="1">IF(B234=0,0,INDIRECT("MRN_"&amp;A234))</f>
        <v>0</v>
      </c>
      <c r="M234" s="2">
        <f t="shared" si="81"/>
        <v>0</v>
      </c>
      <c r="N234" s="2" t="str">
        <f t="shared" si="82"/>
        <v>No</v>
      </c>
      <c r="O234" s="2" t="str">
        <f t="shared" si="83"/>
        <v>No</v>
      </c>
      <c r="P234" s="2" t="str" cm="1">
        <f t="array" aca="1" ref="P234" ca="1">IF(OR(INDIRECT("MRN_"&amp;A234)="N/A",B234=0),"No","Yes")</f>
        <v>No</v>
      </c>
    </row>
    <row r="235" spans="1:16" x14ac:dyDescent="0.2">
      <c r="A235" s="68">
        <v>5</v>
      </c>
      <c r="B235" s="349">
        <f>'Client 5'!S33</f>
        <v>0</v>
      </c>
      <c r="C235" s="2">
        <f>'Client 5'!T33</f>
        <v>0</v>
      </c>
      <c r="D235" s="2">
        <f>'Client 5'!U33</f>
        <v>0</v>
      </c>
      <c r="E235" s="2">
        <f>'Client 5'!V33</f>
        <v>0</v>
      </c>
      <c r="F235" s="350">
        <f>'Client 5'!W33</f>
        <v>0</v>
      </c>
      <c r="G235" s="2">
        <f>'Client 5'!X33</f>
        <v>0</v>
      </c>
      <c r="H235" s="2">
        <f>'Client 5'!Y33</f>
        <v>0</v>
      </c>
      <c r="I235" s="2">
        <f>'Client 5'!Z33</f>
        <v>0</v>
      </c>
      <c r="J235" s="2">
        <f>'Client 5'!AA33</f>
        <v>0</v>
      </c>
      <c r="K235" s="2">
        <f>'Client 5'!AB33</f>
        <v>0</v>
      </c>
      <c r="L235" s="2" cm="1">
        <f t="array" aca="1" ref="L235" ca="1">IF(B235=0,0,INDIRECT("MRN_"&amp;A235))</f>
        <v>0</v>
      </c>
      <c r="M235" s="2">
        <f t="shared" si="81"/>
        <v>0</v>
      </c>
      <c r="N235" s="2" t="str">
        <f t="shared" si="82"/>
        <v>No</v>
      </c>
      <c r="O235" s="2" t="str">
        <f t="shared" si="83"/>
        <v>No</v>
      </c>
      <c r="P235" s="2" t="str" cm="1">
        <f t="array" aca="1" ref="P235" ca="1">IF(OR(INDIRECT("MRN_"&amp;A235)="N/A",B235=0),"No","Yes")</f>
        <v>No</v>
      </c>
    </row>
    <row r="236" spans="1:16" x14ac:dyDescent="0.2">
      <c r="A236" s="68">
        <v>5</v>
      </c>
      <c r="B236" s="349">
        <f>'Client 5'!S34</f>
        <v>0</v>
      </c>
      <c r="C236" s="2">
        <f>'Client 5'!T34</f>
        <v>0</v>
      </c>
      <c r="D236" s="2">
        <f>'Client 5'!U34</f>
        <v>0</v>
      </c>
      <c r="E236" s="2">
        <f>'Client 5'!V34</f>
        <v>0</v>
      </c>
      <c r="F236" s="350">
        <f>'Client 5'!W34</f>
        <v>0</v>
      </c>
      <c r="G236" s="2">
        <f>'Client 5'!X34</f>
        <v>0</v>
      </c>
      <c r="H236" s="2">
        <f>'Client 5'!Y34</f>
        <v>0</v>
      </c>
      <c r="I236" s="2">
        <f>'Client 5'!Z34</f>
        <v>0</v>
      </c>
      <c r="J236" s="2">
        <f>'Client 5'!AA34</f>
        <v>0</v>
      </c>
      <c r="K236" s="2">
        <f>'Client 5'!AB34</f>
        <v>0</v>
      </c>
      <c r="L236" s="2" cm="1">
        <f t="array" aca="1" ref="L236" ca="1">IF(B236=0,0,INDIRECT("MRN_"&amp;A236))</f>
        <v>0</v>
      </c>
      <c r="M236" s="2">
        <f t="shared" si="81"/>
        <v>0</v>
      </c>
      <c r="N236" s="2" t="str">
        <f t="shared" si="82"/>
        <v>No</v>
      </c>
      <c r="O236" s="2" t="str">
        <f t="shared" si="83"/>
        <v>No</v>
      </c>
      <c r="P236" s="2" t="str" cm="1">
        <f t="array" aca="1" ref="P236" ca="1">IF(OR(INDIRECT("MRN_"&amp;A236)="N/A",B236=0),"No","Yes")</f>
        <v>No</v>
      </c>
    </row>
    <row r="237" spans="1:16" x14ac:dyDescent="0.2">
      <c r="A237" s="68">
        <v>5</v>
      </c>
      <c r="B237" s="349">
        <f>'Client 5'!S35</f>
        <v>0</v>
      </c>
      <c r="C237" s="2">
        <f>'Client 5'!T35</f>
        <v>0</v>
      </c>
      <c r="D237" s="2">
        <f>'Client 5'!U35</f>
        <v>0</v>
      </c>
      <c r="E237" s="2">
        <f>'Client 5'!V35</f>
        <v>0</v>
      </c>
      <c r="F237" s="350">
        <f>'Client 5'!W35</f>
        <v>0</v>
      </c>
      <c r="G237" s="2">
        <f>'Client 5'!X35</f>
        <v>0</v>
      </c>
      <c r="H237" s="2">
        <f>'Client 5'!Y35</f>
        <v>0</v>
      </c>
      <c r="I237" s="2">
        <f>'Client 5'!Z35</f>
        <v>0</v>
      </c>
      <c r="J237" s="2">
        <f>'Client 5'!AA35</f>
        <v>0</v>
      </c>
      <c r="K237" s="2">
        <f>'Client 5'!AB35</f>
        <v>0</v>
      </c>
      <c r="L237" s="2" cm="1">
        <f t="array" aca="1" ref="L237" ca="1">IF(B237=0,0,INDIRECT("MRN_"&amp;A237))</f>
        <v>0</v>
      </c>
      <c r="M237" s="2">
        <f t="shared" si="81"/>
        <v>0</v>
      </c>
      <c r="N237" s="2" t="str">
        <f t="shared" si="82"/>
        <v>No</v>
      </c>
      <c r="O237" s="2" t="str">
        <f t="shared" si="83"/>
        <v>No</v>
      </c>
      <c r="P237" s="2" t="str" cm="1">
        <f t="array" aca="1" ref="P237" ca="1">IF(OR(INDIRECT("MRN_"&amp;A237)="N/A",B237=0),"No","Yes")</f>
        <v>No</v>
      </c>
    </row>
    <row r="238" spans="1:16" x14ac:dyDescent="0.2">
      <c r="A238" s="68">
        <v>5</v>
      </c>
      <c r="B238" s="349">
        <f>'Client 5'!S36</f>
        <v>0</v>
      </c>
      <c r="C238" s="2">
        <f>'Client 5'!T36</f>
        <v>0</v>
      </c>
      <c r="D238" s="2">
        <f>'Client 5'!U36</f>
        <v>0</v>
      </c>
      <c r="E238" s="2">
        <f>'Client 5'!V36</f>
        <v>0</v>
      </c>
      <c r="F238" s="350">
        <f>'Client 5'!W36</f>
        <v>0</v>
      </c>
      <c r="G238" s="2">
        <f>'Client 5'!X36</f>
        <v>0</v>
      </c>
      <c r="H238" s="2">
        <f>'Client 5'!Y36</f>
        <v>0</v>
      </c>
      <c r="I238" s="2">
        <f>'Client 5'!Z36</f>
        <v>0</v>
      </c>
      <c r="J238" s="2">
        <f>'Client 5'!AA36</f>
        <v>0</v>
      </c>
      <c r="K238" s="2">
        <f>'Client 5'!AB36</f>
        <v>0</v>
      </c>
      <c r="L238" s="2" cm="1">
        <f t="array" aca="1" ref="L238" ca="1">IF(B238=0,0,INDIRECT("MRN_"&amp;A238))</f>
        <v>0</v>
      </c>
      <c r="M238" s="2">
        <f t="shared" si="81"/>
        <v>0</v>
      </c>
      <c r="N238" s="2" t="str">
        <f t="shared" si="82"/>
        <v>No</v>
      </c>
      <c r="O238" s="2" t="str">
        <f t="shared" si="83"/>
        <v>No</v>
      </c>
      <c r="P238" s="2" t="str" cm="1">
        <f t="array" aca="1" ref="P238" ca="1">IF(OR(INDIRECT("MRN_"&amp;A238)="N/A",B238=0),"No","Yes")</f>
        <v>No</v>
      </c>
    </row>
    <row r="239" spans="1:16" x14ac:dyDescent="0.2">
      <c r="A239" s="68">
        <v>5</v>
      </c>
      <c r="B239" s="349">
        <f>'Client 5'!S37</f>
        <v>0</v>
      </c>
      <c r="C239" s="2">
        <f>'Client 5'!T37</f>
        <v>0</v>
      </c>
      <c r="D239" s="2">
        <f>'Client 5'!U37</f>
        <v>0</v>
      </c>
      <c r="E239" s="2">
        <f>'Client 5'!V37</f>
        <v>0</v>
      </c>
      <c r="F239" s="350">
        <f>'Client 5'!W37</f>
        <v>0</v>
      </c>
      <c r="G239" s="2">
        <f>'Client 5'!X37</f>
        <v>0</v>
      </c>
      <c r="H239" s="2">
        <f>'Client 5'!Y37</f>
        <v>0</v>
      </c>
      <c r="I239" s="2">
        <f>'Client 5'!Z37</f>
        <v>0</v>
      </c>
      <c r="J239" s="2">
        <f>'Client 5'!AA37</f>
        <v>0</v>
      </c>
      <c r="K239" s="2">
        <f>'Client 5'!AB37</f>
        <v>0</v>
      </c>
      <c r="L239" s="2" cm="1">
        <f t="array" aca="1" ref="L239" ca="1">IF(B239=0,0,INDIRECT("MRN_"&amp;A239))</f>
        <v>0</v>
      </c>
      <c r="M239" s="2">
        <f t="shared" si="81"/>
        <v>0</v>
      </c>
      <c r="N239" s="2" t="str">
        <f t="shared" si="82"/>
        <v>No</v>
      </c>
      <c r="O239" s="2" t="str">
        <f t="shared" si="83"/>
        <v>No</v>
      </c>
      <c r="P239" s="2" t="str" cm="1">
        <f t="array" aca="1" ref="P239" ca="1">IF(OR(INDIRECT("MRN_"&amp;A239)="N/A",B239=0),"No","Yes")</f>
        <v>No</v>
      </c>
    </row>
    <row r="240" spans="1:16" x14ac:dyDescent="0.2">
      <c r="A240" s="68">
        <v>5</v>
      </c>
      <c r="B240" s="349">
        <f>'Client 5'!S38</f>
        <v>0</v>
      </c>
      <c r="C240" s="2">
        <f>'Client 5'!T38</f>
        <v>0</v>
      </c>
      <c r="D240" s="2">
        <f>'Client 5'!U38</f>
        <v>0</v>
      </c>
      <c r="E240" s="2">
        <f>'Client 5'!V38</f>
        <v>0</v>
      </c>
      <c r="F240" s="350">
        <f>'Client 5'!W38</f>
        <v>0</v>
      </c>
      <c r="G240" s="2">
        <f>'Client 5'!X38</f>
        <v>0</v>
      </c>
      <c r="H240" s="2">
        <f>'Client 5'!Y38</f>
        <v>0</v>
      </c>
      <c r="I240" s="2">
        <f>'Client 5'!Z38</f>
        <v>0</v>
      </c>
      <c r="J240" s="2">
        <f>'Client 5'!AA38</f>
        <v>0</v>
      </c>
      <c r="K240" s="2">
        <f>'Client 5'!AB38</f>
        <v>0</v>
      </c>
      <c r="L240" s="2" cm="1">
        <f t="array" aca="1" ref="L240" ca="1">IF(B240=0,0,INDIRECT("MRN_"&amp;A240))</f>
        <v>0</v>
      </c>
      <c r="M240" s="2">
        <f t="shared" si="81"/>
        <v>0</v>
      </c>
      <c r="N240" s="2" t="str">
        <f t="shared" si="82"/>
        <v>No</v>
      </c>
      <c r="O240" s="2" t="str">
        <f t="shared" si="83"/>
        <v>No</v>
      </c>
      <c r="P240" s="2" t="str" cm="1">
        <f t="array" aca="1" ref="P240" ca="1">IF(OR(INDIRECT("MRN_"&amp;A240)="N/A",B240=0),"No","Yes")</f>
        <v>No</v>
      </c>
    </row>
    <row r="241" spans="1:16" x14ac:dyDescent="0.2">
      <c r="A241" s="68">
        <v>6</v>
      </c>
      <c r="B241" s="349">
        <f>'Client 6'!S9</f>
        <v>0</v>
      </c>
      <c r="C241" s="2">
        <f>'Client 6'!T9</f>
        <v>0</v>
      </c>
      <c r="D241" s="2">
        <f>'Client 6'!U9</f>
        <v>0</v>
      </c>
      <c r="E241" s="2">
        <f>'Client 6'!V9</f>
        <v>0</v>
      </c>
      <c r="F241" s="350">
        <f>'Client 6'!W9</f>
        <v>0</v>
      </c>
      <c r="G241" s="2">
        <f>'Client 6'!X9</f>
        <v>0</v>
      </c>
      <c r="H241" s="2">
        <f>'Client 6'!Y9</f>
        <v>0</v>
      </c>
      <c r="I241" s="2">
        <f>'Client 6'!Z9</f>
        <v>0</v>
      </c>
      <c r="J241" s="2">
        <f>'Client 6'!AA9</f>
        <v>0</v>
      </c>
      <c r="K241" s="2">
        <f>'Client 6'!AB9</f>
        <v>0</v>
      </c>
      <c r="L241" s="2" cm="1">
        <f t="array" aca="1" ref="L241" ca="1">IF(B241=0,0,INDIRECT("MRN_"&amp;A241))</f>
        <v>0</v>
      </c>
      <c r="M241" s="2">
        <f t="shared" si="81"/>
        <v>0</v>
      </c>
      <c r="N241" s="2" t="str">
        <f t="shared" si="82"/>
        <v>No</v>
      </c>
      <c r="O241" s="2" t="str">
        <f t="shared" si="83"/>
        <v>No</v>
      </c>
      <c r="P241" s="2" t="str" cm="1">
        <f t="array" aca="1" ref="P241" ca="1">IF(OR(INDIRECT("MRN_"&amp;A241)="N/A",B241=0),"No","Yes")</f>
        <v>No</v>
      </c>
    </row>
    <row r="242" spans="1:16" x14ac:dyDescent="0.2">
      <c r="A242" s="68">
        <v>6</v>
      </c>
      <c r="B242" s="349">
        <f>'Client 6'!S10</f>
        <v>0</v>
      </c>
      <c r="C242" s="2">
        <f>'Client 6'!T10</f>
        <v>0</v>
      </c>
      <c r="D242" s="2">
        <f>'Client 6'!U10</f>
        <v>0</v>
      </c>
      <c r="E242" s="2">
        <f>'Client 6'!V10</f>
        <v>0</v>
      </c>
      <c r="F242" s="350">
        <f>'Client 6'!W10</f>
        <v>0</v>
      </c>
      <c r="G242" s="2">
        <f>'Client 6'!X10</f>
        <v>0</v>
      </c>
      <c r="H242" s="2">
        <f>'Client 6'!Y10</f>
        <v>0</v>
      </c>
      <c r="I242" s="2">
        <f>'Client 6'!Z10</f>
        <v>0</v>
      </c>
      <c r="J242" s="2">
        <f>'Client 6'!AA10</f>
        <v>0</v>
      </c>
      <c r="K242" s="2">
        <f>'Client 6'!AB10</f>
        <v>0</v>
      </c>
      <c r="L242" s="2" cm="1">
        <f t="array" aca="1" ref="L242" ca="1">IF(B242=0,0,INDIRECT("MRN_"&amp;A242))</f>
        <v>0</v>
      </c>
      <c r="M242" s="2">
        <f t="shared" si="81"/>
        <v>0</v>
      </c>
      <c r="N242" s="2" t="str">
        <f t="shared" si="82"/>
        <v>No</v>
      </c>
      <c r="O242" s="2" t="str">
        <f t="shared" si="83"/>
        <v>No</v>
      </c>
      <c r="P242" s="2" t="str" cm="1">
        <f t="array" aca="1" ref="P242" ca="1">IF(OR(INDIRECT("MRN_"&amp;A242)="N/A",B242=0),"No","Yes")</f>
        <v>No</v>
      </c>
    </row>
    <row r="243" spans="1:16" x14ac:dyDescent="0.2">
      <c r="A243" s="68">
        <v>6</v>
      </c>
      <c r="B243" s="349">
        <f>'Client 6'!S11</f>
        <v>0</v>
      </c>
      <c r="C243" s="2">
        <f>'Client 6'!T11</f>
        <v>0</v>
      </c>
      <c r="D243" s="2">
        <f>'Client 6'!U11</f>
        <v>0</v>
      </c>
      <c r="E243" s="2">
        <f>'Client 6'!V11</f>
        <v>0</v>
      </c>
      <c r="F243" s="350">
        <f>'Client 6'!W11</f>
        <v>0</v>
      </c>
      <c r="G243" s="2">
        <f>'Client 6'!X11</f>
        <v>0</v>
      </c>
      <c r="H243" s="2">
        <f>'Client 6'!Y11</f>
        <v>0</v>
      </c>
      <c r="I243" s="2">
        <f>'Client 6'!Z11</f>
        <v>0</v>
      </c>
      <c r="J243" s="2">
        <f>'Client 6'!AA11</f>
        <v>0</v>
      </c>
      <c r="K243" s="2">
        <f>'Client 6'!AB11</f>
        <v>0</v>
      </c>
      <c r="L243" s="2" cm="1">
        <f t="array" aca="1" ref="L243" ca="1">IF(B243=0,0,INDIRECT("MRN_"&amp;A243))</f>
        <v>0</v>
      </c>
      <c r="M243" s="2">
        <f t="shared" si="81"/>
        <v>0</v>
      </c>
      <c r="N243" s="2" t="str">
        <f t="shared" si="82"/>
        <v>No</v>
      </c>
      <c r="O243" s="2" t="str">
        <f t="shared" si="83"/>
        <v>No</v>
      </c>
      <c r="P243" s="2" t="str" cm="1">
        <f t="array" aca="1" ref="P243" ca="1">IF(OR(INDIRECT("MRN_"&amp;A243)="N/A",B243=0),"No","Yes")</f>
        <v>No</v>
      </c>
    </row>
    <row r="244" spans="1:16" x14ac:dyDescent="0.2">
      <c r="A244" s="68">
        <v>6</v>
      </c>
      <c r="B244" s="349">
        <f>'Client 6'!S12</f>
        <v>0</v>
      </c>
      <c r="C244" s="2">
        <f>'Client 6'!T12</f>
        <v>0</v>
      </c>
      <c r="D244" s="2">
        <f>'Client 6'!U12</f>
        <v>0</v>
      </c>
      <c r="E244" s="2">
        <f>'Client 6'!V12</f>
        <v>0</v>
      </c>
      <c r="F244" s="350">
        <f>'Client 6'!W12</f>
        <v>0</v>
      </c>
      <c r="G244" s="2">
        <f>'Client 6'!X12</f>
        <v>0</v>
      </c>
      <c r="H244" s="2">
        <f>'Client 6'!Y12</f>
        <v>0</v>
      </c>
      <c r="I244" s="2">
        <f>'Client 6'!Z12</f>
        <v>0</v>
      </c>
      <c r="J244" s="2">
        <f>'Client 6'!AA12</f>
        <v>0</v>
      </c>
      <c r="K244" s="2">
        <f>'Client 6'!AB12</f>
        <v>0</v>
      </c>
      <c r="L244" s="2" cm="1">
        <f t="array" aca="1" ref="L244" ca="1">IF(B244=0,0,INDIRECT("MRN_"&amp;A244))</f>
        <v>0</v>
      </c>
      <c r="M244" s="2">
        <f t="shared" si="81"/>
        <v>0</v>
      </c>
      <c r="N244" s="2" t="str">
        <f t="shared" si="82"/>
        <v>No</v>
      </c>
      <c r="O244" s="2" t="str">
        <f t="shared" si="83"/>
        <v>No</v>
      </c>
      <c r="P244" s="2" t="str" cm="1">
        <f t="array" aca="1" ref="P244" ca="1">IF(OR(INDIRECT("MRN_"&amp;A244)="N/A",B244=0),"No","Yes")</f>
        <v>No</v>
      </c>
    </row>
    <row r="245" spans="1:16" x14ac:dyDescent="0.2">
      <c r="A245" s="68">
        <v>6</v>
      </c>
      <c r="B245" s="349">
        <f>'Client 6'!S13</f>
        <v>0</v>
      </c>
      <c r="C245" s="2">
        <f>'Client 6'!T13</f>
        <v>0</v>
      </c>
      <c r="D245" s="2">
        <f>'Client 6'!U13</f>
        <v>0</v>
      </c>
      <c r="E245" s="2">
        <f>'Client 6'!V13</f>
        <v>0</v>
      </c>
      <c r="F245" s="350">
        <f>'Client 6'!W13</f>
        <v>0</v>
      </c>
      <c r="G245" s="2">
        <f>'Client 6'!X13</f>
        <v>0</v>
      </c>
      <c r="H245" s="2">
        <f>'Client 6'!Y13</f>
        <v>0</v>
      </c>
      <c r="I245" s="2">
        <f>'Client 6'!Z13</f>
        <v>0</v>
      </c>
      <c r="J245" s="2">
        <f>'Client 6'!AA13</f>
        <v>0</v>
      </c>
      <c r="K245" s="2">
        <f>'Client 6'!AB13</f>
        <v>0</v>
      </c>
      <c r="L245" s="2" cm="1">
        <f t="array" aca="1" ref="L245" ca="1">IF(B245=0,0,INDIRECT("MRN_"&amp;A245))</f>
        <v>0</v>
      </c>
      <c r="M245" s="2">
        <f t="shared" si="81"/>
        <v>0</v>
      </c>
      <c r="N245" s="2" t="str">
        <f t="shared" si="82"/>
        <v>No</v>
      </c>
      <c r="O245" s="2" t="str">
        <f t="shared" si="83"/>
        <v>No</v>
      </c>
      <c r="P245" s="2" t="str" cm="1">
        <f t="array" aca="1" ref="P245" ca="1">IF(OR(INDIRECT("MRN_"&amp;A245)="N/A",B245=0),"No","Yes")</f>
        <v>No</v>
      </c>
    </row>
    <row r="246" spans="1:16" x14ac:dyDescent="0.2">
      <c r="A246" s="68">
        <v>6</v>
      </c>
      <c r="B246" s="349">
        <f>'Client 6'!S14</f>
        <v>0</v>
      </c>
      <c r="C246" s="2">
        <f>'Client 6'!T14</f>
        <v>0</v>
      </c>
      <c r="D246" s="2">
        <f>'Client 6'!U14</f>
        <v>0</v>
      </c>
      <c r="E246" s="2">
        <f>'Client 6'!V14</f>
        <v>0</v>
      </c>
      <c r="F246" s="350">
        <f>'Client 6'!W14</f>
        <v>0</v>
      </c>
      <c r="G246" s="2">
        <f>'Client 6'!X14</f>
        <v>0</v>
      </c>
      <c r="H246" s="2">
        <f>'Client 6'!Y14</f>
        <v>0</v>
      </c>
      <c r="I246" s="2">
        <f>'Client 6'!Z14</f>
        <v>0</v>
      </c>
      <c r="J246" s="2">
        <f>'Client 6'!AA14</f>
        <v>0</v>
      </c>
      <c r="K246" s="2">
        <f>'Client 6'!AB14</f>
        <v>0</v>
      </c>
      <c r="L246" s="2" cm="1">
        <f t="array" aca="1" ref="L246" ca="1">IF(B246=0,0,INDIRECT("MRN_"&amp;A246))</f>
        <v>0</v>
      </c>
      <c r="M246" s="2">
        <f t="shared" si="81"/>
        <v>0</v>
      </c>
      <c r="N246" s="2" t="str">
        <f t="shared" si="82"/>
        <v>No</v>
      </c>
      <c r="O246" s="2" t="str">
        <f t="shared" si="83"/>
        <v>No</v>
      </c>
      <c r="P246" s="2" t="str" cm="1">
        <f t="array" aca="1" ref="P246" ca="1">IF(OR(INDIRECT("MRN_"&amp;A246)="N/A",B246=0),"No","Yes")</f>
        <v>No</v>
      </c>
    </row>
    <row r="247" spans="1:16" x14ac:dyDescent="0.2">
      <c r="A247" s="68">
        <v>6</v>
      </c>
      <c r="B247" s="349">
        <f>'Client 6'!S15</f>
        <v>0</v>
      </c>
      <c r="C247" s="2">
        <f>'Client 6'!T15</f>
        <v>0</v>
      </c>
      <c r="D247" s="2">
        <f>'Client 6'!U15</f>
        <v>0</v>
      </c>
      <c r="E247" s="2">
        <f>'Client 6'!V15</f>
        <v>0</v>
      </c>
      <c r="F247" s="350">
        <f>'Client 6'!W15</f>
        <v>0</v>
      </c>
      <c r="G247" s="2">
        <f>'Client 6'!X15</f>
        <v>0</v>
      </c>
      <c r="H247" s="2">
        <f>'Client 6'!Y15</f>
        <v>0</v>
      </c>
      <c r="I247" s="2">
        <f>'Client 6'!Z15</f>
        <v>0</v>
      </c>
      <c r="J247" s="2">
        <f>'Client 6'!AA15</f>
        <v>0</v>
      </c>
      <c r="K247" s="2">
        <f>'Client 6'!AB15</f>
        <v>0</v>
      </c>
      <c r="L247" s="2" cm="1">
        <f t="array" aca="1" ref="L247" ca="1">IF(B247=0,0,INDIRECT("MRN_"&amp;A247))</f>
        <v>0</v>
      </c>
      <c r="M247" s="2">
        <f t="shared" si="81"/>
        <v>0</v>
      </c>
      <c r="N247" s="2" t="str">
        <f t="shared" si="82"/>
        <v>No</v>
      </c>
      <c r="O247" s="2" t="str">
        <f t="shared" si="83"/>
        <v>No</v>
      </c>
      <c r="P247" s="2" t="str" cm="1">
        <f t="array" aca="1" ref="P247" ca="1">IF(OR(INDIRECT("MRN_"&amp;A247)="N/A",B247=0),"No","Yes")</f>
        <v>No</v>
      </c>
    </row>
    <row r="248" spans="1:16" x14ac:dyDescent="0.2">
      <c r="A248" s="68">
        <v>6</v>
      </c>
      <c r="B248" s="349">
        <f>'Client 6'!S16</f>
        <v>0</v>
      </c>
      <c r="C248" s="2">
        <f>'Client 6'!T16</f>
        <v>0</v>
      </c>
      <c r="D248" s="2">
        <f>'Client 6'!U16</f>
        <v>0</v>
      </c>
      <c r="E248" s="2">
        <f>'Client 6'!V16</f>
        <v>0</v>
      </c>
      <c r="F248" s="350">
        <f>'Client 6'!W16</f>
        <v>0</v>
      </c>
      <c r="G248" s="2">
        <f>'Client 6'!X16</f>
        <v>0</v>
      </c>
      <c r="H248" s="2">
        <f>'Client 6'!Y16</f>
        <v>0</v>
      </c>
      <c r="I248" s="2">
        <f>'Client 6'!Z16</f>
        <v>0</v>
      </c>
      <c r="J248" s="2">
        <f>'Client 6'!AA16</f>
        <v>0</v>
      </c>
      <c r="K248" s="2">
        <f>'Client 6'!AB16</f>
        <v>0</v>
      </c>
      <c r="L248" s="2" cm="1">
        <f t="array" aca="1" ref="L248" ca="1">IF(B248=0,0,INDIRECT("MRN_"&amp;A248))</f>
        <v>0</v>
      </c>
      <c r="M248" s="2">
        <f t="shared" si="81"/>
        <v>0</v>
      </c>
      <c r="N248" s="2" t="str">
        <f t="shared" si="82"/>
        <v>No</v>
      </c>
      <c r="O248" s="2" t="str">
        <f t="shared" si="83"/>
        <v>No</v>
      </c>
      <c r="P248" s="2" t="str" cm="1">
        <f t="array" aca="1" ref="P248" ca="1">IF(OR(INDIRECT("MRN_"&amp;A248)="N/A",B248=0),"No","Yes")</f>
        <v>No</v>
      </c>
    </row>
    <row r="249" spans="1:16" x14ac:dyDescent="0.2">
      <c r="A249" s="68">
        <v>6</v>
      </c>
      <c r="B249" s="349">
        <f>'Client 6'!S17</f>
        <v>0</v>
      </c>
      <c r="C249" s="2">
        <f>'Client 6'!T17</f>
        <v>0</v>
      </c>
      <c r="D249" s="2">
        <f>'Client 6'!U17</f>
        <v>0</v>
      </c>
      <c r="E249" s="2">
        <f>'Client 6'!V17</f>
        <v>0</v>
      </c>
      <c r="F249" s="350">
        <f>'Client 6'!W17</f>
        <v>0</v>
      </c>
      <c r="G249" s="2">
        <f>'Client 6'!X17</f>
        <v>0</v>
      </c>
      <c r="H249" s="2">
        <f>'Client 6'!Y17</f>
        <v>0</v>
      </c>
      <c r="I249" s="2">
        <f>'Client 6'!Z17</f>
        <v>0</v>
      </c>
      <c r="J249" s="2">
        <f>'Client 6'!AA17</f>
        <v>0</v>
      </c>
      <c r="K249" s="2">
        <f>'Client 6'!AB17</f>
        <v>0</v>
      </c>
      <c r="L249" s="2" cm="1">
        <f t="array" aca="1" ref="L249" ca="1">IF(B249=0,0,INDIRECT("MRN_"&amp;A249))</f>
        <v>0</v>
      </c>
      <c r="M249" s="2">
        <f t="shared" si="81"/>
        <v>0</v>
      </c>
      <c r="N249" s="2" t="str">
        <f t="shared" si="82"/>
        <v>No</v>
      </c>
      <c r="O249" s="2" t="str">
        <f t="shared" si="83"/>
        <v>No</v>
      </c>
      <c r="P249" s="2" t="str" cm="1">
        <f t="array" aca="1" ref="P249" ca="1">IF(OR(INDIRECT("MRN_"&amp;A249)="N/A",B249=0),"No","Yes")</f>
        <v>No</v>
      </c>
    </row>
    <row r="250" spans="1:16" x14ac:dyDescent="0.2">
      <c r="A250" s="68">
        <v>6</v>
      </c>
      <c r="B250" s="349">
        <f>'Client 6'!S18</f>
        <v>0</v>
      </c>
      <c r="C250" s="2">
        <f>'Client 6'!T18</f>
        <v>0</v>
      </c>
      <c r="D250" s="2">
        <f>'Client 6'!U18</f>
        <v>0</v>
      </c>
      <c r="E250" s="2">
        <f>'Client 6'!V18</f>
        <v>0</v>
      </c>
      <c r="F250" s="350">
        <f>'Client 6'!W18</f>
        <v>0</v>
      </c>
      <c r="G250" s="2">
        <f>'Client 6'!X18</f>
        <v>0</v>
      </c>
      <c r="H250" s="2">
        <f>'Client 6'!Y18</f>
        <v>0</v>
      </c>
      <c r="I250" s="2">
        <f>'Client 6'!Z18</f>
        <v>0</v>
      </c>
      <c r="J250" s="2">
        <f>'Client 6'!AA18</f>
        <v>0</v>
      </c>
      <c r="K250" s="2">
        <f>'Client 6'!AB18</f>
        <v>0</v>
      </c>
      <c r="L250" s="2" cm="1">
        <f t="array" aca="1" ref="L250" ca="1">IF(B250=0,0,INDIRECT("MRN_"&amp;A250))</f>
        <v>0</v>
      </c>
      <c r="M250" s="2">
        <f t="shared" si="81"/>
        <v>0</v>
      </c>
      <c r="N250" s="2" t="str">
        <f t="shared" si="82"/>
        <v>No</v>
      </c>
      <c r="O250" s="2" t="str">
        <f t="shared" si="83"/>
        <v>No</v>
      </c>
      <c r="P250" s="2" t="str" cm="1">
        <f t="array" aca="1" ref="P250" ca="1">IF(OR(INDIRECT("MRN_"&amp;A250)="N/A",B250=0),"No","Yes")</f>
        <v>No</v>
      </c>
    </row>
    <row r="251" spans="1:16" x14ac:dyDescent="0.2">
      <c r="A251" s="68">
        <v>6</v>
      </c>
      <c r="B251" s="349">
        <f>'Client 6'!S19</f>
        <v>0</v>
      </c>
      <c r="C251" s="2">
        <f>'Client 6'!T19</f>
        <v>0</v>
      </c>
      <c r="D251" s="2">
        <f>'Client 6'!U19</f>
        <v>0</v>
      </c>
      <c r="E251" s="2">
        <f>'Client 6'!V19</f>
        <v>0</v>
      </c>
      <c r="F251" s="350">
        <f>'Client 6'!W19</f>
        <v>0</v>
      </c>
      <c r="G251" s="2">
        <f>'Client 6'!X19</f>
        <v>0</v>
      </c>
      <c r="H251" s="2">
        <f>'Client 6'!Y19</f>
        <v>0</v>
      </c>
      <c r="I251" s="2">
        <f>'Client 6'!Z19</f>
        <v>0</v>
      </c>
      <c r="J251" s="2">
        <f>'Client 6'!AA19</f>
        <v>0</v>
      </c>
      <c r="K251" s="2">
        <f>'Client 6'!AB19</f>
        <v>0</v>
      </c>
      <c r="L251" s="2" cm="1">
        <f t="array" aca="1" ref="L251" ca="1">IF(B251=0,0,INDIRECT("MRN_"&amp;A251))</f>
        <v>0</v>
      </c>
      <c r="M251" s="2">
        <f t="shared" si="81"/>
        <v>0</v>
      </c>
      <c r="N251" s="2" t="str">
        <f t="shared" si="82"/>
        <v>No</v>
      </c>
      <c r="O251" s="2" t="str">
        <f t="shared" si="83"/>
        <v>No</v>
      </c>
      <c r="P251" s="2" t="str" cm="1">
        <f t="array" aca="1" ref="P251" ca="1">IF(OR(INDIRECT("MRN_"&amp;A251)="N/A",B251=0),"No","Yes")</f>
        <v>No</v>
      </c>
    </row>
    <row r="252" spans="1:16" x14ac:dyDescent="0.2">
      <c r="A252" s="68">
        <v>6</v>
      </c>
      <c r="B252" s="349">
        <f>'Client 6'!S20</f>
        <v>0</v>
      </c>
      <c r="C252" s="2">
        <f>'Client 6'!T20</f>
        <v>0</v>
      </c>
      <c r="D252" s="2">
        <f>'Client 6'!U20</f>
        <v>0</v>
      </c>
      <c r="E252" s="2">
        <f>'Client 6'!V20</f>
        <v>0</v>
      </c>
      <c r="F252" s="350">
        <f>'Client 6'!W20</f>
        <v>0</v>
      </c>
      <c r="G252" s="2">
        <f>'Client 6'!X20</f>
        <v>0</v>
      </c>
      <c r="H252" s="2">
        <f>'Client 6'!Y20</f>
        <v>0</v>
      </c>
      <c r="I252" s="2">
        <f>'Client 6'!Z20</f>
        <v>0</v>
      </c>
      <c r="J252" s="2">
        <f>'Client 6'!AA20</f>
        <v>0</v>
      </c>
      <c r="K252" s="2">
        <f>'Client 6'!AB20</f>
        <v>0</v>
      </c>
      <c r="L252" s="2" cm="1">
        <f t="array" aca="1" ref="L252" ca="1">IF(B252=0,0,INDIRECT("MRN_"&amp;A252))</f>
        <v>0</v>
      </c>
      <c r="M252" s="2">
        <f t="shared" si="81"/>
        <v>0</v>
      </c>
      <c r="N252" s="2" t="str">
        <f t="shared" si="82"/>
        <v>No</v>
      </c>
      <c r="O252" s="2" t="str">
        <f t="shared" si="83"/>
        <v>No</v>
      </c>
      <c r="P252" s="2" t="str" cm="1">
        <f t="array" aca="1" ref="P252" ca="1">IF(OR(INDIRECT("MRN_"&amp;A252)="N/A",B252=0),"No","Yes")</f>
        <v>No</v>
      </c>
    </row>
    <row r="253" spans="1:16" x14ac:dyDescent="0.2">
      <c r="A253" s="68">
        <v>6</v>
      </c>
      <c r="B253" s="349">
        <f>'Client 6'!S21</f>
        <v>0</v>
      </c>
      <c r="C253" s="2">
        <f>'Client 6'!T21</f>
        <v>0</v>
      </c>
      <c r="D253" s="2">
        <f>'Client 6'!U21</f>
        <v>0</v>
      </c>
      <c r="E253" s="2">
        <f>'Client 6'!V21</f>
        <v>0</v>
      </c>
      <c r="F253" s="350">
        <f>'Client 6'!W21</f>
        <v>0</v>
      </c>
      <c r="G253" s="2">
        <f>'Client 6'!X21</f>
        <v>0</v>
      </c>
      <c r="H253" s="2">
        <f>'Client 6'!Y21</f>
        <v>0</v>
      </c>
      <c r="I253" s="2">
        <f>'Client 6'!Z21</f>
        <v>0</v>
      </c>
      <c r="J253" s="2">
        <f>'Client 6'!AA21</f>
        <v>0</v>
      </c>
      <c r="K253" s="2">
        <f>'Client 6'!AB21</f>
        <v>0</v>
      </c>
      <c r="L253" s="2" cm="1">
        <f t="array" aca="1" ref="L253" ca="1">IF(B253=0,0,INDIRECT("MRN_"&amp;A253))</f>
        <v>0</v>
      </c>
      <c r="M253" s="2">
        <f t="shared" si="81"/>
        <v>0</v>
      </c>
      <c r="N253" s="2" t="str">
        <f t="shared" si="82"/>
        <v>No</v>
      </c>
      <c r="O253" s="2" t="str">
        <f t="shared" si="83"/>
        <v>No</v>
      </c>
      <c r="P253" s="2" t="str" cm="1">
        <f t="array" aca="1" ref="P253" ca="1">IF(OR(INDIRECT("MRN_"&amp;A253)="N/A",B253=0),"No","Yes")</f>
        <v>No</v>
      </c>
    </row>
    <row r="254" spans="1:16" x14ac:dyDescent="0.2">
      <c r="A254" s="68">
        <v>6</v>
      </c>
      <c r="B254" s="349">
        <f>'Client 6'!S22</f>
        <v>0</v>
      </c>
      <c r="C254" s="2">
        <f>'Client 6'!T22</f>
        <v>0</v>
      </c>
      <c r="D254" s="2">
        <f>'Client 6'!U22</f>
        <v>0</v>
      </c>
      <c r="E254" s="2">
        <f>'Client 6'!V22</f>
        <v>0</v>
      </c>
      <c r="F254" s="350">
        <f>'Client 6'!W22</f>
        <v>0</v>
      </c>
      <c r="G254" s="2">
        <f>'Client 6'!X22</f>
        <v>0</v>
      </c>
      <c r="H254" s="2">
        <f>'Client 6'!Y22</f>
        <v>0</v>
      </c>
      <c r="I254" s="2">
        <f>'Client 6'!Z22</f>
        <v>0</v>
      </c>
      <c r="J254" s="2">
        <f>'Client 6'!AA22</f>
        <v>0</v>
      </c>
      <c r="K254" s="2">
        <f>'Client 6'!AB22</f>
        <v>0</v>
      </c>
      <c r="L254" s="2" cm="1">
        <f t="array" aca="1" ref="L254" ca="1">IF(B254=0,0,INDIRECT("MRN_"&amp;A254))</f>
        <v>0</v>
      </c>
      <c r="M254" s="2">
        <f t="shared" si="81"/>
        <v>0</v>
      </c>
      <c r="N254" s="2" t="str">
        <f t="shared" si="82"/>
        <v>No</v>
      </c>
      <c r="O254" s="2" t="str">
        <f t="shared" si="83"/>
        <v>No</v>
      </c>
      <c r="P254" s="2" t="str" cm="1">
        <f t="array" aca="1" ref="P254" ca="1">IF(OR(INDIRECT("MRN_"&amp;A254)="N/A",B254=0),"No","Yes")</f>
        <v>No</v>
      </c>
    </row>
    <row r="255" spans="1:16" x14ac:dyDescent="0.2">
      <c r="A255" s="68">
        <v>6</v>
      </c>
      <c r="B255" s="349">
        <f>'Client 6'!S23</f>
        <v>0</v>
      </c>
      <c r="C255" s="2">
        <f>'Client 6'!T23</f>
        <v>0</v>
      </c>
      <c r="D255" s="2">
        <f>'Client 6'!U23</f>
        <v>0</v>
      </c>
      <c r="E255" s="2">
        <f>'Client 6'!V23</f>
        <v>0</v>
      </c>
      <c r="F255" s="350">
        <f>'Client 6'!W23</f>
        <v>0</v>
      </c>
      <c r="G255" s="2">
        <f>'Client 6'!X23</f>
        <v>0</v>
      </c>
      <c r="H255" s="2">
        <f>'Client 6'!Y23</f>
        <v>0</v>
      </c>
      <c r="I255" s="2">
        <f>'Client 6'!Z23</f>
        <v>0</v>
      </c>
      <c r="J255" s="2">
        <f>'Client 6'!AA23</f>
        <v>0</v>
      </c>
      <c r="K255" s="2">
        <f>'Client 6'!AB23</f>
        <v>0</v>
      </c>
      <c r="L255" s="2" cm="1">
        <f t="array" aca="1" ref="L255" ca="1">IF(B255=0,0,INDIRECT("MRN_"&amp;A255))</f>
        <v>0</v>
      </c>
      <c r="M255" s="2">
        <f t="shared" si="81"/>
        <v>0</v>
      </c>
      <c r="N255" s="2" t="str">
        <f t="shared" si="82"/>
        <v>No</v>
      </c>
      <c r="O255" s="2" t="str">
        <f t="shared" si="83"/>
        <v>No</v>
      </c>
      <c r="P255" s="2" t="str" cm="1">
        <f t="array" aca="1" ref="P255" ca="1">IF(OR(INDIRECT("MRN_"&amp;A255)="N/A",B255=0),"No","Yes")</f>
        <v>No</v>
      </c>
    </row>
    <row r="256" spans="1:16" x14ac:dyDescent="0.2">
      <c r="A256" s="68">
        <v>6</v>
      </c>
      <c r="B256" s="349">
        <f>'Client 6'!S24</f>
        <v>0</v>
      </c>
      <c r="C256" s="2">
        <f>'Client 6'!T24</f>
        <v>0</v>
      </c>
      <c r="D256" s="2">
        <f>'Client 6'!U24</f>
        <v>0</v>
      </c>
      <c r="E256" s="2">
        <f>'Client 6'!V24</f>
        <v>0</v>
      </c>
      <c r="F256" s="350">
        <f>'Client 6'!W24</f>
        <v>0</v>
      </c>
      <c r="G256" s="2">
        <f>'Client 6'!X24</f>
        <v>0</v>
      </c>
      <c r="H256" s="2">
        <f>'Client 6'!Y24</f>
        <v>0</v>
      </c>
      <c r="I256" s="2">
        <f>'Client 6'!Z24</f>
        <v>0</v>
      </c>
      <c r="J256" s="2">
        <f>'Client 6'!AA24</f>
        <v>0</v>
      </c>
      <c r="K256" s="2">
        <f>'Client 6'!AB24</f>
        <v>0</v>
      </c>
      <c r="L256" s="2" cm="1">
        <f t="array" aca="1" ref="L256" ca="1">IF(B256=0,0,INDIRECT("MRN_"&amp;A256))</f>
        <v>0</v>
      </c>
      <c r="M256" s="2">
        <f t="shared" si="81"/>
        <v>0</v>
      </c>
      <c r="N256" s="2" t="str">
        <f t="shared" si="82"/>
        <v>No</v>
      </c>
      <c r="O256" s="2" t="str">
        <f t="shared" si="83"/>
        <v>No</v>
      </c>
      <c r="P256" s="2" t="str" cm="1">
        <f t="array" aca="1" ref="P256" ca="1">IF(OR(INDIRECT("MRN_"&amp;A256)="N/A",B256=0),"No","Yes")</f>
        <v>No</v>
      </c>
    </row>
    <row r="257" spans="1:16" x14ac:dyDescent="0.2">
      <c r="A257" s="68">
        <v>6</v>
      </c>
      <c r="B257" s="349">
        <f>'Client 6'!S25</f>
        <v>0</v>
      </c>
      <c r="C257" s="2">
        <f>'Client 6'!T25</f>
        <v>0</v>
      </c>
      <c r="D257" s="2">
        <f>'Client 6'!U25</f>
        <v>0</v>
      </c>
      <c r="E257" s="2">
        <f>'Client 6'!V25</f>
        <v>0</v>
      </c>
      <c r="F257" s="350">
        <f>'Client 6'!W25</f>
        <v>0</v>
      </c>
      <c r="G257" s="2">
        <f>'Client 6'!X25</f>
        <v>0</v>
      </c>
      <c r="H257" s="2">
        <f>'Client 6'!Y25</f>
        <v>0</v>
      </c>
      <c r="I257" s="2">
        <f>'Client 6'!Z25</f>
        <v>0</v>
      </c>
      <c r="J257" s="2">
        <f>'Client 6'!AA25</f>
        <v>0</v>
      </c>
      <c r="K257" s="2">
        <f>'Client 6'!AB25</f>
        <v>0</v>
      </c>
      <c r="L257" s="2" cm="1">
        <f t="array" aca="1" ref="L257" ca="1">IF(B257=0,0,INDIRECT("MRN_"&amp;A257))</f>
        <v>0</v>
      </c>
      <c r="M257" s="2">
        <f t="shared" si="81"/>
        <v>0</v>
      </c>
      <c r="N257" s="2" t="str">
        <f t="shared" si="82"/>
        <v>No</v>
      </c>
      <c r="O257" s="2" t="str">
        <f t="shared" si="83"/>
        <v>No</v>
      </c>
      <c r="P257" s="2" t="str" cm="1">
        <f t="array" aca="1" ref="P257" ca="1">IF(OR(INDIRECT("MRN_"&amp;A257)="N/A",B257=0),"No","Yes")</f>
        <v>No</v>
      </c>
    </row>
    <row r="258" spans="1:16" x14ac:dyDescent="0.2">
      <c r="A258" s="68">
        <v>6</v>
      </c>
      <c r="B258" s="349">
        <f>'Client 6'!S26</f>
        <v>0</v>
      </c>
      <c r="C258" s="2">
        <f>'Client 6'!T26</f>
        <v>0</v>
      </c>
      <c r="D258" s="2">
        <f>'Client 6'!U26</f>
        <v>0</v>
      </c>
      <c r="E258" s="2">
        <f>'Client 6'!V26</f>
        <v>0</v>
      </c>
      <c r="F258" s="350">
        <f>'Client 6'!W26</f>
        <v>0</v>
      </c>
      <c r="G258" s="2">
        <f>'Client 6'!X26</f>
        <v>0</v>
      </c>
      <c r="H258" s="2">
        <f>'Client 6'!Y26</f>
        <v>0</v>
      </c>
      <c r="I258" s="2">
        <f>'Client 6'!Z26</f>
        <v>0</v>
      </c>
      <c r="J258" s="2">
        <f>'Client 6'!AA26</f>
        <v>0</v>
      </c>
      <c r="K258" s="2">
        <f>'Client 6'!AB26</f>
        <v>0</v>
      </c>
      <c r="L258" s="2" cm="1">
        <f t="array" aca="1" ref="L258" ca="1">IF(B258=0,0,INDIRECT("MRN_"&amp;A258))</f>
        <v>0</v>
      </c>
      <c r="M258" s="2">
        <f t="shared" si="81"/>
        <v>0</v>
      </c>
      <c r="N258" s="2" t="str">
        <f t="shared" si="82"/>
        <v>No</v>
      </c>
      <c r="O258" s="2" t="str">
        <f t="shared" si="83"/>
        <v>No</v>
      </c>
      <c r="P258" s="2" t="str" cm="1">
        <f t="array" aca="1" ref="P258" ca="1">IF(OR(INDIRECT("MRN_"&amp;A258)="N/A",B258=0),"No","Yes")</f>
        <v>No</v>
      </c>
    </row>
    <row r="259" spans="1:16" x14ac:dyDescent="0.2">
      <c r="A259" s="68">
        <v>6</v>
      </c>
      <c r="B259" s="349">
        <f>'Client 6'!S27</f>
        <v>0</v>
      </c>
      <c r="C259" s="2">
        <f>'Client 6'!T27</f>
        <v>0</v>
      </c>
      <c r="D259" s="2">
        <f>'Client 6'!U27</f>
        <v>0</v>
      </c>
      <c r="E259" s="2">
        <f>'Client 6'!V27</f>
        <v>0</v>
      </c>
      <c r="F259" s="350">
        <f>'Client 6'!W27</f>
        <v>0</v>
      </c>
      <c r="G259" s="2">
        <f>'Client 6'!X27</f>
        <v>0</v>
      </c>
      <c r="H259" s="2">
        <f>'Client 6'!Y27</f>
        <v>0</v>
      </c>
      <c r="I259" s="2">
        <f>'Client 6'!Z27</f>
        <v>0</v>
      </c>
      <c r="J259" s="2">
        <f>'Client 6'!AA27</f>
        <v>0</v>
      </c>
      <c r="K259" s="2">
        <f>'Client 6'!AB27</f>
        <v>0</v>
      </c>
      <c r="L259" s="2" cm="1">
        <f t="array" aca="1" ref="L259" ca="1">IF(B259=0,0,INDIRECT("MRN_"&amp;A259))</f>
        <v>0</v>
      </c>
      <c r="M259" s="2">
        <f t="shared" si="81"/>
        <v>0</v>
      </c>
      <c r="N259" s="2" t="str">
        <f t="shared" si="82"/>
        <v>No</v>
      </c>
      <c r="O259" s="2" t="str">
        <f t="shared" si="83"/>
        <v>No</v>
      </c>
      <c r="P259" s="2" t="str" cm="1">
        <f t="array" aca="1" ref="P259" ca="1">IF(OR(INDIRECT("MRN_"&amp;A259)="N/A",B259=0),"No","Yes")</f>
        <v>No</v>
      </c>
    </row>
    <row r="260" spans="1:16" x14ac:dyDescent="0.2">
      <c r="A260" s="68">
        <v>6</v>
      </c>
      <c r="B260" s="349">
        <f>'Client 6'!S28</f>
        <v>0</v>
      </c>
      <c r="C260" s="2">
        <f>'Client 6'!T28</f>
        <v>0</v>
      </c>
      <c r="D260" s="2">
        <f>'Client 6'!U28</f>
        <v>0</v>
      </c>
      <c r="E260" s="2">
        <f>'Client 6'!V28</f>
        <v>0</v>
      </c>
      <c r="F260" s="350">
        <f>'Client 6'!W28</f>
        <v>0</v>
      </c>
      <c r="G260" s="2">
        <f>'Client 6'!X28</f>
        <v>0</v>
      </c>
      <c r="H260" s="2">
        <f>'Client 6'!Y28</f>
        <v>0</v>
      </c>
      <c r="I260" s="2">
        <f>'Client 6'!Z28</f>
        <v>0</v>
      </c>
      <c r="J260" s="2">
        <f>'Client 6'!AA28</f>
        <v>0</v>
      </c>
      <c r="K260" s="2">
        <f>'Client 6'!AB28</f>
        <v>0</v>
      </c>
      <c r="L260" s="2" cm="1">
        <f t="array" aca="1" ref="L260" ca="1">IF(B260=0,0,INDIRECT("MRN_"&amp;A260))</f>
        <v>0</v>
      </c>
      <c r="M260" s="2">
        <f t="shared" si="81"/>
        <v>0</v>
      </c>
      <c r="N260" s="2" t="str">
        <f t="shared" si="82"/>
        <v>No</v>
      </c>
      <c r="O260" s="2" t="str">
        <f t="shared" si="83"/>
        <v>No</v>
      </c>
      <c r="P260" s="2" t="str" cm="1">
        <f t="array" aca="1" ref="P260" ca="1">IF(OR(INDIRECT("MRN_"&amp;A260)="N/A",B260=0),"No","Yes")</f>
        <v>No</v>
      </c>
    </row>
    <row r="261" spans="1:16" x14ac:dyDescent="0.2">
      <c r="A261" s="68">
        <v>6</v>
      </c>
      <c r="B261" s="349">
        <f>'Client 6'!S29</f>
        <v>0</v>
      </c>
      <c r="C261" s="2">
        <f>'Client 6'!T29</f>
        <v>0</v>
      </c>
      <c r="D261" s="2">
        <f>'Client 6'!U29</f>
        <v>0</v>
      </c>
      <c r="E261" s="2">
        <f>'Client 6'!V29</f>
        <v>0</v>
      </c>
      <c r="F261" s="350">
        <f>'Client 6'!W29</f>
        <v>0</v>
      </c>
      <c r="G261" s="2">
        <f>'Client 6'!X29</f>
        <v>0</v>
      </c>
      <c r="H261" s="2">
        <f>'Client 6'!Y29</f>
        <v>0</v>
      </c>
      <c r="I261" s="2">
        <f>'Client 6'!Z29</f>
        <v>0</v>
      </c>
      <c r="J261" s="2">
        <f>'Client 6'!AA29</f>
        <v>0</v>
      </c>
      <c r="K261" s="2">
        <f>'Client 6'!AB29</f>
        <v>0</v>
      </c>
      <c r="L261" s="2" cm="1">
        <f t="array" aca="1" ref="L261" ca="1">IF(B261=0,0,INDIRECT("MRN_"&amp;A261))</f>
        <v>0</v>
      </c>
      <c r="M261" s="2">
        <f t="shared" si="81"/>
        <v>0</v>
      </c>
      <c r="N261" s="2" t="str">
        <f t="shared" si="82"/>
        <v>No</v>
      </c>
      <c r="O261" s="2" t="str">
        <f t="shared" si="83"/>
        <v>No</v>
      </c>
      <c r="P261" s="2" t="str" cm="1">
        <f t="array" aca="1" ref="P261" ca="1">IF(OR(INDIRECT("MRN_"&amp;A261)="N/A",B261=0),"No","Yes")</f>
        <v>No</v>
      </c>
    </row>
    <row r="262" spans="1:16" x14ac:dyDescent="0.2">
      <c r="A262" s="68">
        <v>6</v>
      </c>
      <c r="B262" s="349">
        <f>'Client 6'!S30</f>
        <v>0</v>
      </c>
      <c r="C262" s="2">
        <f>'Client 6'!T30</f>
        <v>0</v>
      </c>
      <c r="D262" s="2">
        <f>'Client 6'!U30</f>
        <v>0</v>
      </c>
      <c r="E262" s="2">
        <f>'Client 6'!V30</f>
        <v>0</v>
      </c>
      <c r="F262" s="350">
        <f>'Client 6'!W30</f>
        <v>0</v>
      </c>
      <c r="G262" s="2">
        <f>'Client 6'!X30</f>
        <v>0</v>
      </c>
      <c r="H262" s="2">
        <f>'Client 6'!Y30</f>
        <v>0</v>
      </c>
      <c r="I262" s="2">
        <f>'Client 6'!Z30</f>
        <v>0</v>
      </c>
      <c r="J262" s="2">
        <f>'Client 6'!AA30</f>
        <v>0</v>
      </c>
      <c r="K262" s="2">
        <f>'Client 6'!AB30</f>
        <v>0</v>
      </c>
      <c r="L262" s="2" cm="1">
        <f t="array" aca="1" ref="L262" ca="1">IF(B262=0,0,INDIRECT("MRN_"&amp;A262))</f>
        <v>0</v>
      </c>
      <c r="M262" s="2">
        <f t="shared" si="81"/>
        <v>0</v>
      </c>
      <c r="N262" s="2" t="str">
        <f t="shared" si="82"/>
        <v>No</v>
      </c>
      <c r="O262" s="2" t="str">
        <f t="shared" si="83"/>
        <v>No</v>
      </c>
      <c r="P262" s="2" t="str" cm="1">
        <f t="array" aca="1" ref="P262" ca="1">IF(OR(INDIRECT("MRN_"&amp;A262)="N/A",B262=0),"No","Yes")</f>
        <v>No</v>
      </c>
    </row>
    <row r="263" spans="1:16" x14ac:dyDescent="0.2">
      <c r="A263" s="68">
        <v>6</v>
      </c>
      <c r="B263" s="349">
        <f>'Client 6'!S31</f>
        <v>0</v>
      </c>
      <c r="C263" s="2">
        <f>'Client 6'!T31</f>
        <v>0</v>
      </c>
      <c r="D263" s="2">
        <f>'Client 6'!U31</f>
        <v>0</v>
      </c>
      <c r="E263" s="2">
        <f>'Client 6'!V31</f>
        <v>0</v>
      </c>
      <c r="F263" s="350">
        <f>'Client 6'!W31</f>
        <v>0</v>
      </c>
      <c r="G263" s="2">
        <f>'Client 6'!X31</f>
        <v>0</v>
      </c>
      <c r="H263" s="2">
        <f>'Client 6'!Y31</f>
        <v>0</v>
      </c>
      <c r="I263" s="2">
        <f>'Client 6'!Z31</f>
        <v>0</v>
      </c>
      <c r="J263" s="2">
        <f>'Client 6'!AA31</f>
        <v>0</v>
      </c>
      <c r="K263" s="2">
        <f>'Client 6'!AB31</f>
        <v>0</v>
      </c>
      <c r="L263" s="2" cm="1">
        <f t="array" aca="1" ref="L263" ca="1">IF(B263=0,0,INDIRECT("MRN_"&amp;A263))</f>
        <v>0</v>
      </c>
      <c r="M263" s="2">
        <f t="shared" si="81"/>
        <v>0</v>
      </c>
      <c r="N263" s="2" t="str">
        <f t="shared" si="82"/>
        <v>No</v>
      </c>
      <c r="O263" s="2" t="str">
        <f t="shared" si="83"/>
        <v>No</v>
      </c>
      <c r="P263" s="2" t="str" cm="1">
        <f t="array" aca="1" ref="P263" ca="1">IF(OR(INDIRECT("MRN_"&amp;A263)="N/A",B263=0),"No","Yes")</f>
        <v>No</v>
      </c>
    </row>
    <row r="264" spans="1:16" x14ac:dyDescent="0.2">
      <c r="A264" s="68">
        <v>6</v>
      </c>
      <c r="B264" s="349">
        <f>'Client 6'!S32</f>
        <v>0</v>
      </c>
      <c r="C264" s="2">
        <f>'Client 6'!T32</f>
        <v>0</v>
      </c>
      <c r="D264" s="2">
        <f>'Client 6'!U32</f>
        <v>0</v>
      </c>
      <c r="E264" s="2">
        <f>'Client 6'!V32</f>
        <v>0</v>
      </c>
      <c r="F264" s="350">
        <f>'Client 6'!W32</f>
        <v>0</v>
      </c>
      <c r="G264" s="2">
        <f>'Client 6'!X32</f>
        <v>0</v>
      </c>
      <c r="H264" s="2">
        <f>'Client 6'!Y32</f>
        <v>0</v>
      </c>
      <c r="I264" s="2">
        <f>'Client 6'!Z32</f>
        <v>0</v>
      </c>
      <c r="J264" s="2">
        <f>'Client 6'!AA32</f>
        <v>0</v>
      </c>
      <c r="K264" s="2">
        <f>'Client 6'!AB32</f>
        <v>0</v>
      </c>
      <c r="L264" s="2" cm="1">
        <f t="array" aca="1" ref="L264" ca="1">IF(B264=0,0,INDIRECT("MRN_"&amp;A264))</f>
        <v>0</v>
      </c>
      <c r="M264" s="2">
        <f t="shared" si="81"/>
        <v>0</v>
      </c>
      <c r="N264" s="2" t="str">
        <f t="shared" si="82"/>
        <v>No</v>
      </c>
      <c r="O264" s="2" t="str">
        <f t="shared" si="83"/>
        <v>No</v>
      </c>
      <c r="P264" s="2" t="str" cm="1">
        <f t="array" aca="1" ref="P264" ca="1">IF(OR(INDIRECT("MRN_"&amp;A264)="N/A",B264=0),"No","Yes")</f>
        <v>No</v>
      </c>
    </row>
    <row r="265" spans="1:16" x14ac:dyDescent="0.2">
      <c r="A265" s="68">
        <v>6</v>
      </c>
      <c r="B265" s="349">
        <f>'Client 6'!S33</f>
        <v>0</v>
      </c>
      <c r="C265" s="2">
        <f>'Client 6'!T33</f>
        <v>0</v>
      </c>
      <c r="D265" s="2">
        <f>'Client 6'!U33</f>
        <v>0</v>
      </c>
      <c r="E265" s="2">
        <f>'Client 6'!V33</f>
        <v>0</v>
      </c>
      <c r="F265" s="350">
        <f>'Client 6'!W33</f>
        <v>0</v>
      </c>
      <c r="G265" s="2">
        <f>'Client 6'!X33</f>
        <v>0</v>
      </c>
      <c r="H265" s="2">
        <f>'Client 6'!Y33</f>
        <v>0</v>
      </c>
      <c r="I265" s="2">
        <f>'Client 6'!Z33</f>
        <v>0</v>
      </c>
      <c r="J265" s="2">
        <f>'Client 6'!AA33</f>
        <v>0</v>
      </c>
      <c r="K265" s="2">
        <f>'Client 6'!AB33</f>
        <v>0</v>
      </c>
      <c r="L265" s="2" cm="1">
        <f t="array" aca="1" ref="L265" ca="1">IF(B265=0,0,INDIRECT("MRN_"&amp;A265))</f>
        <v>0</v>
      </c>
      <c r="M265" s="2">
        <f t="shared" si="81"/>
        <v>0</v>
      </c>
      <c r="N265" s="2" t="str">
        <f t="shared" si="82"/>
        <v>No</v>
      </c>
      <c r="O265" s="2" t="str">
        <f t="shared" si="83"/>
        <v>No</v>
      </c>
      <c r="P265" s="2" t="str" cm="1">
        <f t="array" aca="1" ref="P265" ca="1">IF(OR(INDIRECT("MRN_"&amp;A265)="N/A",B265=0),"No","Yes")</f>
        <v>No</v>
      </c>
    </row>
    <row r="266" spans="1:16" x14ac:dyDescent="0.2">
      <c r="A266" s="68">
        <v>6</v>
      </c>
      <c r="B266" s="349">
        <f>'Client 6'!S34</f>
        <v>0</v>
      </c>
      <c r="C266" s="2">
        <f>'Client 6'!T34</f>
        <v>0</v>
      </c>
      <c r="D266" s="2">
        <f>'Client 6'!U34</f>
        <v>0</v>
      </c>
      <c r="E266" s="2">
        <f>'Client 6'!V34</f>
        <v>0</v>
      </c>
      <c r="F266" s="350">
        <f>'Client 6'!W34</f>
        <v>0</v>
      </c>
      <c r="G266" s="2">
        <f>'Client 6'!X34</f>
        <v>0</v>
      </c>
      <c r="H266" s="2">
        <f>'Client 6'!Y34</f>
        <v>0</v>
      </c>
      <c r="I266" s="2">
        <f>'Client 6'!Z34</f>
        <v>0</v>
      </c>
      <c r="J266" s="2">
        <f>'Client 6'!AA34</f>
        <v>0</v>
      </c>
      <c r="K266" s="2">
        <f>'Client 6'!AB34</f>
        <v>0</v>
      </c>
      <c r="L266" s="2" cm="1">
        <f t="array" aca="1" ref="L266" ca="1">IF(B266=0,0,INDIRECT("MRN_"&amp;A266))</f>
        <v>0</v>
      </c>
      <c r="M266" s="2">
        <f t="shared" si="81"/>
        <v>0</v>
      </c>
      <c r="N266" s="2" t="str">
        <f t="shared" si="82"/>
        <v>No</v>
      </c>
      <c r="O266" s="2" t="str">
        <f t="shared" si="83"/>
        <v>No</v>
      </c>
      <c r="P266" s="2" t="str" cm="1">
        <f t="array" aca="1" ref="P266" ca="1">IF(OR(INDIRECT("MRN_"&amp;A266)="N/A",B266=0),"No","Yes")</f>
        <v>No</v>
      </c>
    </row>
    <row r="267" spans="1:16" x14ac:dyDescent="0.2">
      <c r="A267" s="68">
        <v>6</v>
      </c>
      <c r="B267" s="349">
        <f>'Client 6'!S35</f>
        <v>0</v>
      </c>
      <c r="C267" s="2">
        <f>'Client 6'!T35</f>
        <v>0</v>
      </c>
      <c r="D267" s="2">
        <f>'Client 6'!U35</f>
        <v>0</v>
      </c>
      <c r="E267" s="2">
        <f>'Client 6'!V35</f>
        <v>0</v>
      </c>
      <c r="F267" s="350">
        <f>'Client 6'!W35</f>
        <v>0</v>
      </c>
      <c r="G267" s="2">
        <f>'Client 6'!X35</f>
        <v>0</v>
      </c>
      <c r="H267" s="2">
        <f>'Client 6'!Y35</f>
        <v>0</v>
      </c>
      <c r="I267" s="2">
        <f>'Client 6'!Z35</f>
        <v>0</v>
      </c>
      <c r="J267" s="2">
        <f>'Client 6'!AA35</f>
        <v>0</v>
      </c>
      <c r="K267" s="2">
        <f>'Client 6'!AB35</f>
        <v>0</v>
      </c>
      <c r="L267" s="2" cm="1">
        <f t="array" aca="1" ref="L267" ca="1">IF(B267=0,0,INDIRECT("MRN_"&amp;A267))</f>
        <v>0</v>
      </c>
      <c r="M267" s="2">
        <f t="shared" si="81"/>
        <v>0</v>
      </c>
      <c r="N267" s="2" t="str">
        <f t="shared" si="82"/>
        <v>No</v>
      </c>
      <c r="O267" s="2" t="str">
        <f t="shared" si="83"/>
        <v>No</v>
      </c>
      <c r="P267" s="2" t="str" cm="1">
        <f t="array" aca="1" ref="P267" ca="1">IF(OR(INDIRECT("MRN_"&amp;A267)="N/A",B267=0),"No","Yes")</f>
        <v>No</v>
      </c>
    </row>
    <row r="268" spans="1:16" x14ac:dyDescent="0.2">
      <c r="A268" s="68">
        <v>6</v>
      </c>
      <c r="B268" s="349">
        <f>'Client 6'!S36</f>
        <v>0</v>
      </c>
      <c r="C268" s="2">
        <f>'Client 6'!T36</f>
        <v>0</v>
      </c>
      <c r="D268" s="2">
        <f>'Client 6'!U36</f>
        <v>0</v>
      </c>
      <c r="E268" s="2">
        <f>'Client 6'!V36</f>
        <v>0</v>
      </c>
      <c r="F268" s="350">
        <f>'Client 6'!W36</f>
        <v>0</v>
      </c>
      <c r="G268" s="2">
        <f>'Client 6'!X36</f>
        <v>0</v>
      </c>
      <c r="H268" s="2">
        <f>'Client 6'!Y36</f>
        <v>0</v>
      </c>
      <c r="I268" s="2">
        <f>'Client 6'!Z36</f>
        <v>0</v>
      </c>
      <c r="J268" s="2">
        <f>'Client 6'!AA36</f>
        <v>0</v>
      </c>
      <c r="K268" s="2">
        <f>'Client 6'!AB36</f>
        <v>0</v>
      </c>
      <c r="L268" s="2" cm="1">
        <f t="array" aca="1" ref="L268" ca="1">IF(B268=0,0,INDIRECT("MRN_"&amp;A268))</f>
        <v>0</v>
      </c>
      <c r="M268" s="2">
        <f t="shared" si="81"/>
        <v>0</v>
      </c>
      <c r="N268" s="2" t="str">
        <f t="shared" si="82"/>
        <v>No</v>
      </c>
      <c r="O268" s="2" t="str">
        <f t="shared" si="83"/>
        <v>No</v>
      </c>
      <c r="P268" s="2" t="str" cm="1">
        <f t="array" aca="1" ref="P268" ca="1">IF(OR(INDIRECT("MRN_"&amp;A268)="N/A",B268=0),"No","Yes")</f>
        <v>No</v>
      </c>
    </row>
    <row r="269" spans="1:16" x14ac:dyDescent="0.2">
      <c r="A269" s="68">
        <v>6</v>
      </c>
      <c r="B269" s="349">
        <f>'Client 6'!S37</f>
        <v>0</v>
      </c>
      <c r="C269" s="2">
        <f>'Client 6'!T37</f>
        <v>0</v>
      </c>
      <c r="D269" s="2">
        <f>'Client 6'!U37</f>
        <v>0</v>
      </c>
      <c r="E269" s="2">
        <f>'Client 6'!V37</f>
        <v>0</v>
      </c>
      <c r="F269" s="350">
        <f>'Client 6'!W37</f>
        <v>0</v>
      </c>
      <c r="G269" s="2">
        <f>'Client 6'!X37</f>
        <v>0</v>
      </c>
      <c r="H269" s="2">
        <f>'Client 6'!Y37</f>
        <v>0</v>
      </c>
      <c r="I269" s="2">
        <f>'Client 6'!Z37</f>
        <v>0</v>
      </c>
      <c r="J269" s="2">
        <f>'Client 6'!AA37</f>
        <v>0</v>
      </c>
      <c r="K269" s="2">
        <f>'Client 6'!AB37</f>
        <v>0</v>
      </c>
      <c r="L269" s="2" cm="1">
        <f t="array" aca="1" ref="L269" ca="1">IF(B269=0,0,INDIRECT("MRN_"&amp;A269))</f>
        <v>0</v>
      </c>
      <c r="M269" s="2">
        <f t="shared" si="81"/>
        <v>0</v>
      </c>
      <c r="N269" s="2" t="str">
        <f t="shared" si="82"/>
        <v>No</v>
      </c>
      <c r="O269" s="2" t="str">
        <f t="shared" si="83"/>
        <v>No</v>
      </c>
      <c r="P269" s="2" t="str" cm="1">
        <f t="array" aca="1" ref="P269" ca="1">IF(OR(INDIRECT("MRN_"&amp;A269)="N/A",B269=0),"No","Yes")</f>
        <v>No</v>
      </c>
    </row>
    <row r="270" spans="1:16" x14ac:dyDescent="0.2">
      <c r="A270" s="68">
        <v>6</v>
      </c>
      <c r="B270" s="349">
        <f>'Client 6'!S38</f>
        <v>0</v>
      </c>
      <c r="C270" s="2">
        <f>'Client 6'!T38</f>
        <v>0</v>
      </c>
      <c r="D270" s="2">
        <f>'Client 6'!U38</f>
        <v>0</v>
      </c>
      <c r="E270" s="2">
        <f>'Client 6'!V38</f>
        <v>0</v>
      </c>
      <c r="F270" s="350">
        <f>'Client 6'!W38</f>
        <v>0</v>
      </c>
      <c r="G270" s="2">
        <f>'Client 6'!X38</f>
        <v>0</v>
      </c>
      <c r="H270" s="2">
        <f>'Client 6'!Y38</f>
        <v>0</v>
      </c>
      <c r="I270" s="2">
        <f>'Client 6'!Z38</f>
        <v>0</v>
      </c>
      <c r="J270" s="2">
        <f>'Client 6'!AA38</f>
        <v>0</v>
      </c>
      <c r="K270" s="2">
        <f>'Client 6'!AB38</f>
        <v>0</v>
      </c>
      <c r="L270" s="2" cm="1">
        <f t="array" aca="1" ref="L270" ca="1">IF(B270=0,0,INDIRECT("MRN_"&amp;A270))</f>
        <v>0</v>
      </c>
      <c r="M270" s="2">
        <f t="shared" si="81"/>
        <v>0</v>
      </c>
      <c r="N270" s="2" t="str">
        <f t="shared" si="82"/>
        <v>No</v>
      </c>
      <c r="O270" s="2" t="str">
        <f t="shared" si="83"/>
        <v>No</v>
      </c>
      <c r="P270" s="2" t="str" cm="1">
        <f t="array" aca="1" ref="P270" ca="1">IF(OR(INDIRECT("MRN_"&amp;A270)="N/A",B270=0),"No","Yes")</f>
        <v>No</v>
      </c>
    </row>
    <row r="271" spans="1:16" x14ac:dyDescent="0.2">
      <c r="A271" s="68">
        <v>7</v>
      </c>
      <c r="B271" s="349">
        <f>'Client 7'!S9</f>
        <v>0</v>
      </c>
      <c r="C271" s="2">
        <f>'Client 7'!T9</f>
        <v>0</v>
      </c>
      <c r="D271" s="2">
        <f>'Client 7'!U9</f>
        <v>0</v>
      </c>
      <c r="E271" s="2">
        <f>'Client 7'!V9</f>
        <v>0</v>
      </c>
      <c r="F271" s="350">
        <f>'Client 7'!W9</f>
        <v>0</v>
      </c>
      <c r="G271" s="2">
        <f>'Client 7'!X9</f>
        <v>0</v>
      </c>
      <c r="H271" s="2">
        <f>'Client 7'!Y9</f>
        <v>0</v>
      </c>
      <c r="I271" s="2">
        <f>'Client 7'!Z9</f>
        <v>0</v>
      </c>
      <c r="J271" s="2">
        <f>'Client 7'!AA9</f>
        <v>0</v>
      </c>
      <c r="K271" s="2">
        <f>'Client 7'!AB9</f>
        <v>0</v>
      </c>
      <c r="L271" s="2" cm="1">
        <f t="array" aca="1" ref="L271" ca="1">IF(B271=0,0,INDIRECT("MRN_"&amp;A271))</f>
        <v>0</v>
      </c>
      <c r="M271" s="2">
        <f t="shared" si="81"/>
        <v>0</v>
      </c>
      <c r="N271" s="2" t="str">
        <f t="shared" si="82"/>
        <v>No</v>
      </c>
      <c r="O271" s="2" t="str">
        <f t="shared" si="83"/>
        <v>No</v>
      </c>
      <c r="P271" s="2" t="str" cm="1">
        <f t="array" aca="1" ref="P271" ca="1">IF(OR(INDIRECT("MRN_"&amp;A271)="N/A",B271=0),"No","Yes")</f>
        <v>No</v>
      </c>
    </row>
    <row r="272" spans="1:16" x14ac:dyDescent="0.2">
      <c r="A272" s="68">
        <v>7</v>
      </c>
      <c r="B272" s="349">
        <f>'Client 7'!S10</f>
        <v>0</v>
      </c>
      <c r="C272" s="2">
        <f>'Client 7'!T10</f>
        <v>0</v>
      </c>
      <c r="D272" s="2">
        <f>'Client 7'!U10</f>
        <v>0</v>
      </c>
      <c r="E272" s="2">
        <f>'Client 7'!V10</f>
        <v>0</v>
      </c>
      <c r="F272" s="350">
        <f>'Client 7'!W10</f>
        <v>0</v>
      </c>
      <c r="G272" s="2">
        <f>'Client 7'!X10</f>
        <v>0</v>
      </c>
      <c r="H272" s="2">
        <f>'Client 7'!Y10</f>
        <v>0</v>
      </c>
      <c r="I272" s="2">
        <f>'Client 7'!Z10</f>
        <v>0</v>
      </c>
      <c r="J272" s="2">
        <f>'Client 7'!AA10</f>
        <v>0</v>
      </c>
      <c r="K272" s="2">
        <f>'Client 7'!AB10</f>
        <v>0</v>
      </c>
      <c r="L272" s="2" cm="1">
        <f t="array" aca="1" ref="L272" ca="1">IF(B272=0,0,INDIRECT("MRN_"&amp;A272))</f>
        <v>0</v>
      </c>
      <c r="M272" s="2">
        <f t="shared" si="81"/>
        <v>0</v>
      </c>
      <c r="N272" s="2" t="str">
        <f t="shared" si="82"/>
        <v>No</v>
      </c>
      <c r="O272" s="2" t="str">
        <f t="shared" si="83"/>
        <v>No</v>
      </c>
      <c r="P272" s="2" t="str" cm="1">
        <f t="array" aca="1" ref="P272" ca="1">IF(OR(INDIRECT("MRN_"&amp;A272)="N/A",B272=0),"No","Yes")</f>
        <v>No</v>
      </c>
    </row>
    <row r="273" spans="1:16" x14ac:dyDescent="0.2">
      <c r="A273" s="68">
        <v>7</v>
      </c>
      <c r="B273" s="349">
        <f>'Client 7'!S11</f>
        <v>0</v>
      </c>
      <c r="C273" s="2">
        <f>'Client 7'!T11</f>
        <v>0</v>
      </c>
      <c r="D273" s="2">
        <f>'Client 7'!U11</f>
        <v>0</v>
      </c>
      <c r="E273" s="2">
        <f>'Client 7'!V11</f>
        <v>0</v>
      </c>
      <c r="F273" s="350">
        <f>'Client 7'!W11</f>
        <v>0</v>
      </c>
      <c r="G273" s="2">
        <f>'Client 7'!X11</f>
        <v>0</v>
      </c>
      <c r="H273" s="2">
        <f>'Client 7'!Y11</f>
        <v>0</v>
      </c>
      <c r="I273" s="2">
        <f>'Client 7'!Z11</f>
        <v>0</v>
      </c>
      <c r="J273" s="2">
        <f>'Client 7'!AA11</f>
        <v>0</v>
      </c>
      <c r="K273" s="2">
        <f>'Client 7'!AB11</f>
        <v>0</v>
      </c>
      <c r="L273" s="2" cm="1">
        <f t="array" aca="1" ref="L273" ca="1">IF(B273=0,0,INDIRECT("MRN_"&amp;A273))</f>
        <v>0</v>
      </c>
      <c r="M273" s="2">
        <f t="shared" si="81"/>
        <v>0</v>
      </c>
      <c r="N273" s="2" t="str">
        <f t="shared" si="82"/>
        <v>No</v>
      </c>
      <c r="O273" s="2" t="str">
        <f t="shared" si="83"/>
        <v>No</v>
      </c>
      <c r="P273" s="2" t="str" cm="1">
        <f t="array" aca="1" ref="P273" ca="1">IF(OR(INDIRECT("MRN_"&amp;A273)="N/A",B273=0),"No","Yes")</f>
        <v>No</v>
      </c>
    </row>
    <row r="274" spans="1:16" x14ac:dyDescent="0.2">
      <c r="A274" s="68">
        <v>7</v>
      </c>
      <c r="B274" s="349">
        <f>'Client 7'!S12</f>
        <v>0</v>
      </c>
      <c r="C274" s="2">
        <f>'Client 7'!T12</f>
        <v>0</v>
      </c>
      <c r="D274" s="2">
        <f>'Client 7'!U12</f>
        <v>0</v>
      </c>
      <c r="E274" s="2">
        <f>'Client 7'!V12</f>
        <v>0</v>
      </c>
      <c r="F274" s="350">
        <f>'Client 7'!W12</f>
        <v>0</v>
      </c>
      <c r="G274" s="2">
        <f>'Client 7'!X12</f>
        <v>0</v>
      </c>
      <c r="H274" s="2">
        <f>'Client 7'!Y12</f>
        <v>0</v>
      </c>
      <c r="I274" s="2">
        <f>'Client 7'!Z12</f>
        <v>0</v>
      </c>
      <c r="J274" s="2">
        <f>'Client 7'!AA12</f>
        <v>0</v>
      </c>
      <c r="K274" s="2">
        <f>'Client 7'!AB12</f>
        <v>0</v>
      </c>
      <c r="L274" s="2" cm="1">
        <f t="array" aca="1" ref="L274" ca="1">IF(B274=0,0,INDIRECT("MRN_"&amp;A274))</f>
        <v>0</v>
      </c>
      <c r="M274" s="2">
        <f t="shared" si="81"/>
        <v>0</v>
      </c>
      <c r="N274" s="2" t="str">
        <f t="shared" si="82"/>
        <v>No</v>
      </c>
      <c r="O274" s="2" t="str">
        <f t="shared" si="83"/>
        <v>No</v>
      </c>
      <c r="P274" s="2" t="str" cm="1">
        <f t="array" aca="1" ref="P274" ca="1">IF(OR(INDIRECT("MRN_"&amp;A274)="N/A",B274=0),"No","Yes")</f>
        <v>No</v>
      </c>
    </row>
    <row r="275" spans="1:16" x14ac:dyDescent="0.2">
      <c r="A275" s="68">
        <v>7</v>
      </c>
      <c r="B275" s="349">
        <f>'Client 7'!S13</f>
        <v>0</v>
      </c>
      <c r="C275" s="2">
        <f>'Client 7'!T13</f>
        <v>0</v>
      </c>
      <c r="D275" s="2">
        <f>'Client 7'!U13</f>
        <v>0</v>
      </c>
      <c r="E275" s="2">
        <f>'Client 7'!V13</f>
        <v>0</v>
      </c>
      <c r="F275" s="350">
        <f>'Client 7'!W13</f>
        <v>0</v>
      </c>
      <c r="G275" s="2">
        <f>'Client 7'!X13</f>
        <v>0</v>
      </c>
      <c r="H275" s="2">
        <f>'Client 7'!Y13</f>
        <v>0</v>
      </c>
      <c r="I275" s="2">
        <f>'Client 7'!Z13</f>
        <v>0</v>
      </c>
      <c r="J275" s="2">
        <f>'Client 7'!AA13</f>
        <v>0</v>
      </c>
      <c r="K275" s="2">
        <f>'Client 7'!AB13</f>
        <v>0</v>
      </c>
      <c r="L275" s="2" cm="1">
        <f t="array" aca="1" ref="L275" ca="1">IF(B275=0,0,INDIRECT("MRN_"&amp;A275))</f>
        <v>0</v>
      </c>
      <c r="M275" s="2">
        <f t="shared" si="81"/>
        <v>0</v>
      </c>
      <c r="N275" s="2" t="str">
        <f t="shared" si="82"/>
        <v>No</v>
      </c>
      <c r="O275" s="2" t="str">
        <f t="shared" si="83"/>
        <v>No</v>
      </c>
      <c r="P275" s="2" t="str" cm="1">
        <f t="array" aca="1" ref="P275" ca="1">IF(OR(INDIRECT("MRN_"&amp;A275)="N/A",B275=0),"No","Yes")</f>
        <v>No</v>
      </c>
    </row>
    <row r="276" spans="1:16" x14ac:dyDescent="0.2">
      <c r="A276" s="68">
        <v>7</v>
      </c>
      <c r="B276" s="349">
        <f>'Client 7'!S14</f>
        <v>0</v>
      </c>
      <c r="C276" s="2">
        <f>'Client 7'!T14</f>
        <v>0</v>
      </c>
      <c r="D276" s="2">
        <f>'Client 7'!U14</f>
        <v>0</v>
      </c>
      <c r="E276" s="2">
        <f>'Client 7'!V14</f>
        <v>0</v>
      </c>
      <c r="F276" s="350">
        <f>'Client 7'!W14</f>
        <v>0</v>
      </c>
      <c r="G276" s="2">
        <f>'Client 7'!X14</f>
        <v>0</v>
      </c>
      <c r="H276" s="2">
        <f>'Client 7'!Y14</f>
        <v>0</v>
      </c>
      <c r="I276" s="2">
        <f>'Client 7'!Z14</f>
        <v>0</v>
      </c>
      <c r="J276" s="2">
        <f>'Client 7'!AA14</f>
        <v>0</v>
      </c>
      <c r="K276" s="2">
        <f>'Client 7'!AB14</f>
        <v>0</v>
      </c>
      <c r="L276" s="2" cm="1">
        <f t="array" aca="1" ref="L276" ca="1">IF(B276=0,0,INDIRECT("MRN_"&amp;A276))</f>
        <v>0</v>
      </c>
      <c r="M276" s="2">
        <f t="shared" si="81"/>
        <v>0</v>
      </c>
      <c r="N276" s="2" t="str">
        <f t="shared" si="82"/>
        <v>No</v>
      </c>
      <c r="O276" s="2" t="str">
        <f t="shared" si="83"/>
        <v>No</v>
      </c>
      <c r="P276" s="2" t="str" cm="1">
        <f t="array" aca="1" ref="P276" ca="1">IF(OR(INDIRECT("MRN_"&amp;A276)="N/A",B276=0),"No","Yes")</f>
        <v>No</v>
      </c>
    </row>
    <row r="277" spans="1:16" x14ac:dyDescent="0.2">
      <c r="A277" s="68">
        <v>7</v>
      </c>
      <c r="B277" s="349">
        <f>'Client 7'!S15</f>
        <v>0</v>
      </c>
      <c r="C277" s="2">
        <f>'Client 7'!T15</f>
        <v>0</v>
      </c>
      <c r="D277" s="2">
        <f>'Client 7'!U15</f>
        <v>0</v>
      </c>
      <c r="E277" s="2">
        <f>'Client 7'!V15</f>
        <v>0</v>
      </c>
      <c r="F277" s="350">
        <f>'Client 7'!W15</f>
        <v>0</v>
      </c>
      <c r="G277" s="2">
        <f>'Client 7'!X15</f>
        <v>0</v>
      </c>
      <c r="H277" s="2">
        <f>'Client 7'!Y15</f>
        <v>0</v>
      </c>
      <c r="I277" s="2">
        <f>'Client 7'!Z15</f>
        <v>0</v>
      </c>
      <c r="J277" s="2">
        <f>'Client 7'!AA15</f>
        <v>0</v>
      </c>
      <c r="K277" s="2">
        <f>'Client 7'!AB15</f>
        <v>0</v>
      </c>
      <c r="L277" s="2" cm="1">
        <f t="array" aca="1" ref="L277" ca="1">IF(B277=0,0,INDIRECT("MRN_"&amp;A277))</f>
        <v>0</v>
      </c>
      <c r="M277" s="2">
        <f t="shared" si="81"/>
        <v>0</v>
      </c>
      <c r="N277" s="2" t="str">
        <f t="shared" si="82"/>
        <v>No</v>
      </c>
      <c r="O277" s="2" t="str">
        <f t="shared" si="83"/>
        <v>No</v>
      </c>
      <c r="P277" s="2" t="str" cm="1">
        <f t="array" aca="1" ref="P277" ca="1">IF(OR(INDIRECT("MRN_"&amp;A277)="N/A",B277=0),"No","Yes")</f>
        <v>No</v>
      </c>
    </row>
    <row r="278" spans="1:16" x14ac:dyDescent="0.2">
      <c r="A278" s="68">
        <v>7</v>
      </c>
      <c r="B278" s="349">
        <f>'Client 7'!S16</f>
        <v>0</v>
      </c>
      <c r="C278" s="2">
        <f>'Client 7'!T16</f>
        <v>0</v>
      </c>
      <c r="D278" s="2">
        <f>'Client 7'!U16</f>
        <v>0</v>
      </c>
      <c r="E278" s="2">
        <f>'Client 7'!V16</f>
        <v>0</v>
      </c>
      <c r="F278" s="350">
        <f>'Client 7'!W16</f>
        <v>0</v>
      </c>
      <c r="G278" s="2">
        <f>'Client 7'!X16</f>
        <v>0</v>
      </c>
      <c r="H278" s="2">
        <f>'Client 7'!Y16</f>
        <v>0</v>
      </c>
      <c r="I278" s="2">
        <f>'Client 7'!Z16</f>
        <v>0</v>
      </c>
      <c r="J278" s="2">
        <f>'Client 7'!AA16</f>
        <v>0</v>
      </c>
      <c r="K278" s="2">
        <f>'Client 7'!AB16</f>
        <v>0</v>
      </c>
      <c r="L278" s="2" cm="1">
        <f t="array" aca="1" ref="L278" ca="1">IF(B278=0,0,INDIRECT("MRN_"&amp;A278))</f>
        <v>0</v>
      </c>
      <c r="M278" s="2">
        <f t="shared" si="81"/>
        <v>0</v>
      </c>
      <c r="N278" s="2" t="str">
        <f t="shared" si="82"/>
        <v>No</v>
      </c>
      <c r="O278" s="2" t="str">
        <f t="shared" si="83"/>
        <v>No</v>
      </c>
      <c r="P278" s="2" t="str" cm="1">
        <f t="array" aca="1" ref="P278" ca="1">IF(OR(INDIRECT("MRN_"&amp;A278)="N/A",B278=0),"No","Yes")</f>
        <v>No</v>
      </c>
    </row>
    <row r="279" spans="1:16" x14ac:dyDescent="0.2">
      <c r="A279" s="68">
        <v>7</v>
      </c>
      <c r="B279" s="349">
        <f>'Client 7'!S17</f>
        <v>0</v>
      </c>
      <c r="C279" s="2">
        <f>'Client 7'!T17</f>
        <v>0</v>
      </c>
      <c r="D279" s="2">
        <f>'Client 7'!U17</f>
        <v>0</v>
      </c>
      <c r="E279" s="2">
        <f>'Client 7'!V17</f>
        <v>0</v>
      </c>
      <c r="F279" s="350">
        <f>'Client 7'!W17</f>
        <v>0</v>
      </c>
      <c r="G279" s="2">
        <f>'Client 7'!X17</f>
        <v>0</v>
      </c>
      <c r="H279" s="2">
        <f>'Client 7'!Y17</f>
        <v>0</v>
      </c>
      <c r="I279" s="2">
        <f>'Client 7'!Z17</f>
        <v>0</v>
      </c>
      <c r="J279" s="2">
        <f>'Client 7'!AA17</f>
        <v>0</v>
      </c>
      <c r="K279" s="2">
        <f>'Client 7'!AB17</f>
        <v>0</v>
      </c>
      <c r="L279" s="2" cm="1">
        <f t="array" aca="1" ref="L279" ca="1">IF(B279=0,0,INDIRECT("MRN_"&amp;A279))</f>
        <v>0</v>
      </c>
      <c r="M279" s="2">
        <f t="shared" si="81"/>
        <v>0</v>
      </c>
      <c r="N279" s="2" t="str">
        <f t="shared" si="82"/>
        <v>No</v>
      </c>
      <c r="O279" s="2" t="str">
        <f t="shared" si="83"/>
        <v>No</v>
      </c>
      <c r="P279" s="2" t="str" cm="1">
        <f t="array" aca="1" ref="P279" ca="1">IF(OR(INDIRECT("MRN_"&amp;A279)="N/A",B279=0),"No","Yes")</f>
        <v>No</v>
      </c>
    </row>
    <row r="280" spans="1:16" x14ac:dyDescent="0.2">
      <c r="A280" s="68">
        <v>7</v>
      </c>
      <c r="B280" s="349">
        <f>'Client 7'!S18</f>
        <v>0</v>
      </c>
      <c r="C280" s="2">
        <f>'Client 7'!T18</f>
        <v>0</v>
      </c>
      <c r="D280" s="2">
        <f>'Client 7'!U18</f>
        <v>0</v>
      </c>
      <c r="E280" s="2">
        <f>'Client 7'!V18</f>
        <v>0</v>
      </c>
      <c r="F280" s="350">
        <f>'Client 7'!W18</f>
        <v>0</v>
      </c>
      <c r="G280" s="2">
        <f>'Client 7'!X18</f>
        <v>0</v>
      </c>
      <c r="H280" s="2">
        <f>'Client 7'!Y18</f>
        <v>0</v>
      </c>
      <c r="I280" s="2">
        <f>'Client 7'!Z18</f>
        <v>0</v>
      </c>
      <c r="J280" s="2">
        <f>'Client 7'!AA18</f>
        <v>0</v>
      </c>
      <c r="K280" s="2">
        <f>'Client 7'!AB18</f>
        <v>0</v>
      </c>
      <c r="L280" s="2" cm="1">
        <f t="array" aca="1" ref="L280" ca="1">IF(B280=0,0,INDIRECT("MRN_"&amp;A280))</f>
        <v>0</v>
      </c>
      <c r="M280" s="2">
        <f t="shared" si="81"/>
        <v>0</v>
      </c>
      <c r="N280" s="2" t="str">
        <f t="shared" si="82"/>
        <v>No</v>
      </c>
      <c r="O280" s="2" t="str">
        <f t="shared" si="83"/>
        <v>No</v>
      </c>
      <c r="P280" s="2" t="str" cm="1">
        <f t="array" aca="1" ref="P280" ca="1">IF(OR(INDIRECT("MRN_"&amp;A280)="N/A",B280=0),"No","Yes")</f>
        <v>No</v>
      </c>
    </row>
    <row r="281" spans="1:16" x14ac:dyDescent="0.2">
      <c r="A281" s="68">
        <v>7</v>
      </c>
      <c r="B281" s="349">
        <f>'Client 7'!S19</f>
        <v>0</v>
      </c>
      <c r="C281" s="2">
        <f>'Client 7'!T19</f>
        <v>0</v>
      </c>
      <c r="D281" s="2">
        <f>'Client 7'!U19</f>
        <v>0</v>
      </c>
      <c r="E281" s="2">
        <f>'Client 7'!V19</f>
        <v>0</v>
      </c>
      <c r="F281" s="350">
        <f>'Client 7'!W19</f>
        <v>0</v>
      </c>
      <c r="G281" s="2">
        <f>'Client 7'!X19</f>
        <v>0</v>
      </c>
      <c r="H281" s="2">
        <f>'Client 7'!Y19</f>
        <v>0</v>
      </c>
      <c r="I281" s="2">
        <f>'Client 7'!Z19</f>
        <v>0</v>
      </c>
      <c r="J281" s="2">
        <f>'Client 7'!AA19</f>
        <v>0</v>
      </c>
      <c r="K281" s="2">
        <f>'Client 7'!AB19</f>
        <v>0</v>
      </c>
      <c r="L281" s="2" cm="1">
        <f t="array" aca="1" ref="L281" ca="1">IF(B281=0,0,INDIRECT("MRN_"&amp;A281))</f>
        <v>0</v>
      </c>
      <c r="M281" s="2">
        <f t="shared" si="81"/>
        <v>0</v>
      </c>
      <c r="N281" s="2" t="str">
        <f t="shared" si="82"/>
        <v>No</v>
      </c>
      <c r="O281" s="2" t="str">
        <f t="shared" si="83"/>
        <v>No</v>
      </c>
      <c r="P281" s="2" t="str" cm="1">
        <f t="array" aca="1" ref="P281" ca="1">IF(OR(INDIRECT("MRN_"&amp;A281)="N/A",B281=0),"No","Yes")</f>
        <v>No</v>
      </c>
    </row>
    <row r="282" spans="1:16" x14ac:dyDescent="0.2">
      <c r="A282" s="68">
        <v>7</v>
      </c>
      <c r="B282" s="349">
        <f>'Client 7'!S20</f>
        <v>0</v>
      </c>
      <c r="C282" s="2">
        <f>'Client 7'!T20</f>
        <v>0</v>
      </c>
      <c r="D282" s="2">
        <f>'Client 7'!U20</f>
        <v>0</v>
      </c>
      <c r="E282" s="2">
        <f>'Client 7'!V20</f>
        <v>0</v>
      </c>
      <c r="F282" s="350">
        <f>'Client 7'!W20</f>
        <v>0</v>
      </c>
      <c r="G282" s="2">
        <f>'Client 7'!X20</f>
        <v>0</v>
      </c>
      <c r="H282" s="2">
        <f>'Client 7'!Y20</f>
        <v>0</v>
      </c>
      <c r="I282" s="2">
        <f>'Client 7'!Z20</f>
        <v>0</v>
      </c>
      <c r="J282" s="2">
        <f>'Client 7'!AA20</f>
        <v>0</v>
      </c>
      <c r="K282" s="2">
        <f>'Client 7'!AB20</f>
        <v>0</v>
      </c>
      <c r="L282" s="2" cm="1">
        <f t="array" aca="1" ref="L282" ca="1">IF(B282=0,0,INDIRECT("MRN_"&amp;A282))</f>
        <v>0</v>
      </c>
      <c r="M282" s="2">
        <f t="shared" si="81"/>
        <v>0</v>
      </c>
      <c r="N282" s="2" t="str">
        <f t="shared" si="82"/>
        <v>No</v>
      </c>
      <c r="O282" s="2" t="str">
        <f t="shared" si="83"/>
        <v>No</v>
      </c>
      <c r="P282" s="2" t="str" cm="1">
        <f t="array" aca="1" ref="P282" ca="1">IF(OR(INDIRECT("MRN_"&amp;A282)="N/A",B282=0),"No","Yes")</f>
        <v>No</v>
      </c>
    </row>
    <row r="283" spans="1:16" x14ac:dyDescent="0.2">
      <c r="A283" s="68">
        <v>7</v>
      </c>
      <c r="B283" s="349">
        <f>'Client 7'!S21</f>
        <v>0</v>
      </c>
      <c r="C283" s="2">
        <f>'Client 7'!T21</f>
        <v>0</v>
      </c>
      <c r="D283" s="2">
        <f>'Client 7'!U21</f>
        <v>0</v>
      </c>
      <c r="E283" s="2">
        <f>'Client 7'!V21</f>
        <v>0</v>
      </c>
      <c r="F283" s="350">
        <f>'Client 7'!W21</f>
        <v>0</v>
      </c>
      <c r="G283" s="2">
        <f>'Client 7'!X21</f>
        <v>0</v>
      </c>
      <c r="H283" s="2">
        <f>'Client 7'!Y21</f>
        <v>0</v>
      </c>
      <c r="I283" s="2">
        <f>'Client 7'!Z21</f>
        <v>0</v>
      </c>
      <c r="J283" s="2">
        <f>'Client 7'!AA21</f>
        <v>0</v>
      </c>
      <c r="K283" s="2">
        <f>'Client 7'!AB21</f>
        <v>0</v>
      </c>
      <c r="L283" s="2" cm="1">
        <f t="array" aca="1" ref="L283" ca="1">IF(B283=0,0,INDIRECT("MRN_"&amp;A283))</f>
        <v>0</v>
      </c>
      <c r="M283" s="2">
        <f t="shared" si="81"/>
        <v>0</v>
      </c>
      <c r="N283" s="2" t="str">
        <f t="shared" si="82"/>
        <v>No</v>
      </c>
      <c r="O283" s="2" t="str">
        <f t="shared" si="83"/>
        <v>No</v>
      </c>
      <c r="P283" s="2" t="str" cm="1">
        <f t="array" aca="1" ref="P283" ca="1">IF(OR(INDIRECT("MRN_"&amp;A283)="N/A",B283=0),"No","Yes")</f>
        <v>No</v>
      </c>
    </row>
    <row r="284" spans="1:16" x14ac:dyDescent="0.2">
      <c r="A284" s="68">
        <v>7</v>
      </c>
      <c r="B284" s="349">
        <f>'Client 7'!S22</f>
        <v>0</v>
      </c>
      <c r="C284" s="2">
        <f>'Client 7'!T22</f>
        <v>0</v>
      </c>
      <c r="D284" s="2">
        <f>'Client 7'!U22</f>
        <v>0</v>
      </c>
      <c r="E284" s="2">
        <f>'Client 7'!V22</f>
        <v>0</v>
      </c>
      <c r="F284" s="350">
        <f>'Client 7'!W22</f>
        <v>0</v>
      </c>
      <c r="G284" s="2">
        <f>'Client 7'!X22</f>
        <v>0</v>
      </c>
      <c r="H284" s="2">
        <f>'Client 7'!Y22</f>
        <v>0</v>
      </c>
      <c r="I284" s="2">
        <f>'Client 7'!Z22</f>
        <v>0</v>
      </c>
      <c r="J284" s="2">
        <f>'Client 7'!AA22</f>
        <v>0</v>
      </c>
      <c r="K284" s="2">
        <f>'Client 7'!AB22</f>
        <v>0</v>
      </c>
      <c r="L284" s="2" cm="1">
        <f t="array" aca="1" ref="L284" ca="1">IF(B284=0,0,INDIRECT("MRN_"&amp;A284))</f>
        <v>0</v>
      </c>
      <c r="M284" s="2">
        <f t="shared" ref="M284:M347" si="84">IF(B284=0,0,"Client_"&amp;A284)</f>
        <v>0</v>
      </c>
      <c r="N284" s="2" t="str">
        <f t="shared" ref="N284:N347" si="85">IF(J284=0,"No","Yes")</f>
        <v>No</v>
      </c>
      <c r="O284" s="2" t="str">
        <f t="shared" ref="O284:O347" si="86">IF(I284=0,"No","Yes")</f>
        <v>No</v>
      </c>
      <c r="P284" s="2" t="str" cm="1">
        <f t="array" aca="1" ref="P284" ca="1">IF(OR(INDIRECT("MRN_"&amp;A284)="N/A",B284=0),"No","Yes")</f>
        <v>No</v>
      </c>
    </row>
    <row r="285" spans="1:16" x14ac:dyDescent="0.2">
      <c r="A285" s="68">
        <v>7</v>
      </c>
      <c r="B285" s="349">
        <f>'Client 7'!S23</f>
        <v>0</v>
      </c>
      <c r="C285" s="2">
        <f>'Client 7'!T23</f>
        <v>0</v>
      </c>
      <c r="D285" s="2">
        <f>'Client 7'!U23</f>
        <v>0</v>
      </c>
      <c r="E285" s="2">
        <f>'Client 7'!V23</f>
        <v>0</v>
      </c>
      <c r="F285" s="350">
        <f>'Client 7'!W23</f>
        <v>0</v>
      </c>
      <c r="G285" s="2">
        <f>'Client 7'!X23</f>
        <v>0</v>
      </c>
      <c r="H285" s="2">
        <f>'Client 7'!Y23</f>
        <v>0</v>
      </c>
      <c r="I285" s="2">
        <f>'Client 7'!Z23</f>
        <v>0</v>
      </c>
      <c r="J285" s="2">
        <f>'Client 7'!AA23</f>
        <v>0</v>
      </c>
      <c r="K285" s="2">
        <f>'Client 7'!AB23</f>
        <v>0</v>
      </c>
      <c r="L285" s="2" cm="1">
        <f t="array" aca="1" ref="L285" ca="1">IF(B285=0,0,INDIRECT("MRN_"&amp;A285))</f>
        <v>0</v>
      </c>
      <c r="M285" s="2">
        <f t="shared" si="84"/>
        <v>0</v>
      </c>
      <c r="N285" s="2" t="str">
        <f t="shared" si="85"/>
        <v>No</v>
      </c>
      <c r="O285" s="2" t="str">
        <f t="shared" si="86"/>
        <v>No</v>
      </c>
      <c r="P285" s="2" t="str" cm="1">
        <f t="array" aca="1" ref="P285" ca="1">IF(OR(INDIRECT("MRN_"&amp;A285)="N/A",B285=0),"No","Yes")</f>
        <v>No</v>
      </c>
    </row>
    <row r="286" spans="1:16" x14ac:dyDescent="0.2">
      <c r="A286" s="68">
        <v>7</v>
      </c>
      <c r="B286" s="349">
        <f>'Client 7'!S24</f>
        <v>0</v>
      </c>
      <c r="C286" s="2">
        <f>'Client 7'!T24</f>
        <v>0</v>
      </c>
      <c r="D286" s="2">
        <f>'Client 7'!U24</f>
        <v>0</v>
      </c>
      <c r="E286" s="2">
        <f>'Client 7'!V24</f>
        <v>0</v>
      </c>
      <c r="F286" s="350">
        <f>'Client 7'!W24</f>
        <v>0</v>
      </c>
      <c r="G286" s="2">
        <f>'Client 7'!X24</f>
        <v>0</v>
      </c>
      <c r="H286" s="2">
        <f>'Client 7'!Y24</f>
        <v>0</v>
      </c>
      <c r="I286" s="2">
        <f>'Client 7'!Z24</f>
        <v>0</v>
      </c>
      <c r="J286" s="2">
        <f>'Client 7'!AA24</f>
        <v>0</v>
      </c>
      <c r="K286" s="2">
        <f>'Client 7'!AB24</f>
        <v>0</v>
      </c>
      <c r="L286" s="2" cm="1">
        <f t="array" aca="1" ref="L286" ca="1">IF(B286=0,0,INDIRECT("MRN_"&amp;A286))</f>
        <v>0</v>
      </c>
      <c r="M286" s="2">
        <f t="shared" si="84"/>
        <v>0</v>
      </c>
      <c r="N286" s="2" t="str">
        <f t="shared" si="85"/>
        <v>No</v>
      </c>
      <c r="O286" s="2" t="str">
        <f t="shared" si="86"/>
        <v>No</v>
      </c>
      <c r="P286" s="2" t="str" cm="1">
        <f t="array" aca="1" ref="P286" ca="1">IF(OR(INDIRECT("MRN_"&amp;A286)="N/A",B286=0),"No","Yes")</f>
        <v>No</v>
      </c>
    </row>
    <row r="287" spans="1:16" x14ac:dyDescent="0.2">
      <c r="A287" s="68">
        <v>7</v>
      </c>
      <c r="B287" s="349">
        <f>'Client 7'!S25</f>
        <v>0</v>
      </c>
      <c r="C287" s="2">
        <f>'Client 7'!T25</f>
        <v>0</v>
      </c>
      <c r="D287" s="2">
        <f>'Client 7'!U25</f>
        <v>0</v>
      </c>
      <c r="E287" s="2">
        <f>'Client 7'!V25</f>
        <v>0</v>
      </c>
      <c r="F287" s="350">
        <f>'Client 7'!W25</f>
        <v>0</v>
      </c>
      <c r="G287" s="2">
        <f>'Client 7'!X25</f>
        <v>0</v>
      </c>
      <c r="H287" s="2">
        <f>'Client 7'!Y25</f>
        <v>0</v>
      </c>
      <c r="I287" s="2">
        <f>'Client 7'!Z25</f>
        <v>0</v>
      </c>
      <c r="J287" s="2">
        <f>'Client 7'!AA25</f>
        <v>0</v>
      </c>
      <c r="K287" s="2">
        <f>'Client 7'!AB25</f>
        <v>0</v>
      </c>
      <c r="L287" s="2" cm="1">
        <f t="array" aca="1" ref="L287" ca="1">IF(B287=0,0,INDIRECT("MRN_"&amp;A287))</f>
        <v>0</v>
      </c>
      <c r="M287" s="2">
        <f t="shared" si="84"/>
        <v>0</v>
      </c>
      <c r="N287" s="2" t="str">
        <f t="shared" si="85"/>
        <v>No</v>
      </c>
      <c r="O287" s="2" t="str">
        <f t="shared" si="86"/>
        <v>No</v>
      </c>
      <c r="P287" s="2" t="str" cm="1">
        <f t="array" aca="1" ref="P287" ca="1">IF(OR(INDIRECT("MRN_"&amp;A287)="N/A",B287=0),"No","Yes")</f>
        <v>No</v>
      </c>
    </row>
    <row r="288" spans="1:16" x14ac:dyDescent="0.2">
      <c r="A288" s="68">
        <v>7</v>
      </c>
      <c r="B288" s="349">
        <f>'Client 7'!S26</f>
        <v>0</v>
      </c>
      <c r="C288" s="2">
        <f>'Client 7'!T26</f>
        <v>0</v>
      </c>
      <c r="D288" s="2">
        <f>'Client 7'!U26</f>
        <v>0</v>
      </c>
      <c r="E288" s="2">
        <f>'Client 7'!V26</f>
        <v>0</v>
      </c>
      <c r="F288" s="350">
        <f>'Client 7'!W26</f>
        <v>0</v>
      </c>
      <c r="G288" s="2">
        <f>'Client 7'!X26</f>
        <v>0</v>
      </c>
      <c r="H288" s="2">
        <f>'Client 7'!Y26</f>
        <v>0</v>
      </c>
      <c r="I288" s="2">
        <f>'Client 7'!Z26</f>
        <v>0</v>
      </c>
      <c r="J288" s="2">
        <f>'Client 7'!AA26</f>
        <v>0</v>
      </c>
      <c r="K288" s="2">
        <f>'Client 7'!AB26</f>
        <v>0</v>
      </c>
      <c r="L288" s="2" cm="1">
        <f t="array" aca="1" ref="L288" ca="1">IF(B288=0,0,INDIRECT("MRN_"&amp;A288))</f>
        <v>0</v>
      </c>
      <c r="M288" s="2">
        <f t="shared" si="84"/>
        <v>0</v>
      </c>
      <c r="N288" s="2" t="str">
        <f t="shared" si="85"/>
        <v>No</v>
      </c>
      <c r="O288" s="2" t="str">
        <f t="shared" si="86"/>
        <v>No</v>
      </c>
      <c r="P288" s="2" t="str" cm="1">
        <f t="array" aca="1" ref="P288" ca="1">IF(OR(INDIRECT("MRN_"&amp;A288)="N/A",B288=0),"No","Yes")</f>
        <v>No</v>
      </c>
    </row>
    <row r="289" spans="1:16" x14ac:dyDescent="0.2">
      <c r="A289" s="68">
        <v>7</v>
      </c>
      <c r="B289" s="349">
        <f>'Client 7'!S27</f>
        <v>0</v>
      </c>
      <c r="C289" s="2">
        <f>'Client 7'!T27</f>
        <v>0</v>
      </c>
      <c r="D289" s="2">
        <f>'Client 7'!U27</f>
        <v>0</v>
      </c>
      <c r="E289" s="2">
        <f>'Client 7'!V27</f>
        <v>0</v>
      </c>
      <c r="F289" s="350">
        <f>'Client 7'!W27</f>
        <v>0</v>
      </c>
      <c r="G289" s="2">
        <f>'Client 7'!X27</f>
        <v>0</v>
      </c>
      <c r="H289" s="2">
        <f>'Client 7'!Y27</f>
        <v>0</v>
      </c>
      <c r="I289" s="2">
        <f>'Client 7'!Z27</f>
        <v>0</v>
      </c>
      <c r="J289" s="2">
        <f>'Client 7'!AA27</f>
        <v>0</v>
      </c>
      <c r="K289" s="2">
        <f>'Client 7'!AB27</f>
        <v>0</v>
      </c>
      <c r="L289" s="2" cm="1">
        <f t="array" aca="1" ref="L289" ca="1">IF(B289=0,0,INDIRECT("MRN_"&amp;A289))</f>
        <v>0</v>
      </c>
      <c r="M289" s="2">
        <f t="shared" si="84"/>
        <v>0</v>
      </c>
      <c r="N289" s="2" t="str">
        <f t="shared" si="85"/>
        <v>No</v>
      </c>
      <c r="O289" s="2" t="str">
        <f t="shared" si="86"/>
        <v>No</v>
      </c>
      <c r="P289" s="2" t="str" cm="1">
        <f t="array" aca="1" ref="P289" ca="1">IF(OR(INDIRECT("MRN_"&amp;A289)="N/A",B289=0),"No","Yes")</f>
        <v>No</v>
      </c>
    </row>
    <row r="290" spans="1:16" x14ac:dyDescent="0.2">
      <c r="A290" s="68">
        <v>7</v>
      </c>
      <c r="B290" s="349">
        <f>'Client 7'!S28</f>
        <v>0</v>
      </c>
      <c r="C290" s="2">
        <f>'Client 7'!T28</f>
        <v>0</v>
      </c>
      <c r="D290" s="2">
        <f>'Client 7'!U28</f>
        <v>0</v>
      </c>
      <c r="E290" s="2">
        <f>'Client 7'!V28</f>
        <v>0</v>
      </c>
      <c r="F290" s="350">
        <f>'Client 7'!W28</f>
        <v>0</v>
      </c>
      <c r="G290" s="2">
        <f>'Client 7'!X28</f>
        <v>0</v>
      </c>
      <c r="H290" s="2">
        <f>'Client 7'!Y28</f>
        <v>0</v>
      </c>
      <c r="I290" s="2">
        <f>'Client 7'!Z28</f>
        <v>0</v>
      </c>
      <c r="J290" s="2">
        <f>'Client 7'!AA28</f>
        <v>0</v>
      </c>
      <c r="K290" s="2">
        <f>'Client 7'!AB28</f>
        <v>0</v>
      </c>
      <c r="L290" s="2" cm="1">
        <f t="array" aca="1" ref="L290" ca="1">IF(B290=0,0,INDIRECT("MRN_"&amp;A290))</f>
        <v>0</v>
      </c>
      <c r="M290" s="2">
        <f t="shared" si="84"/>
        <v>0</v>
      </c>
      <c r="N290" s="2" t="str">
        <f t="shared" si="85"/>
        <v>No</v>
      </c>
      <c r="O290" s="2" t="str">
        <f t="shared" si="86"/>
        <v>No</v>
      </c>
      <c r="P290" s="2" t="str" cm="1">
        <f t="array" aca="1" ref="P290" ca="1">IF(OR(INDIRECT("MRN_"&amp;A290)="N/A",B290=0),"No","Yes")</f>
        <v>No</v>
      </c>
    </row>
    <row r="291" spans="1:16" x14ac:dyDescent="0.2">
      <c r="A291" s="68">
        <v>7</v>
      </c>
      <c r="B291" s="349">
        <f>'Client 7'!S29</f>
        <v>0</v>
      </c>
      <c r="C291" s="2">
        <f>'Client 7'!T29</f>
        <v>0</v>
      </c>
      <c r="D291" s="2">
        <f>'Client 7'!U29</f>
        <v>0</v>
      </c>
      <c r="E291" s="2">
        <f>'Client 7'!V29</f>
        <v>0</v>
      </c>
      <c r="F291" s="350">
        <f>'Client 7'!W29</f>
        <v>0</v>
      </c>
      <c r="G291" s="2">
        <f>'Client 7'!X29</f>
        <v>0</v>
      </c>
      <c r="H291" s="2">
        <f>'Client 7'!Y29</f>
        <v>0</v>
      </c>
      <c r="I291" s="2">
        <f>'Client 7'!Z29</f>
        <v>0</v>
      </c>
      <c r="J291" s="2">
        <f>'Client 7'!AA29</f>
        <v>0</v>
      </c>
      <c r="K291" s="2">
        <f>'Client 7'!AB29</f>
        <v>0</v>
      </c>
      <c r="L291" s="2" cm="1">
        <f t="array" aca="1" ref="L291" ca="1">IF(B291=0,0,INDIRECT("MRN_"&amp;A291))</f>
        <v>0</v>
      </c>
      <c r="M291" s="2">
        <f t="shared" si="84"/>
        <v>0</v>
      </c>
      <c r="N291" s="2" t="str">
        <f t="shared" si="85"/>
        <v>No</v>
      </c>
      <c r="O291" s="2" t="str">
        <f t="shared" si="86"/>
        <v>No</v>
      </c>
      <c r="P291" s="2" t="str" cm="1">
        <f t="array" aca="1" ref="P291" ca="1">IF(OR(INDIRECT("MRN_"&amp;A291)="N/A",B291=0),"No","Yes")</f>
        <v>No</v>
      </c>
    </row>
    <row r="292" spans="1:16" x14ac:dyDescent="0.2">
      <c r="A292" s="68">
        <v>7</v>
      </c>
      <c r="B292" s="349">
        <f>'Client 7'!S30</f>
        <v>0</v>
      </c>
      <c r="C292" s="2">
        <f>'Client 7'!T30</f>
        <v>0</v>
      </c>
      <c r="D292" s="2">
        <f>'Client 7'!U30</f>
        <v>0</v>
      </c>
      <c r="E292" s="2">
        <f>'Client 7'!V30</f>
        <v>0</v>
      </c>
      <c r="F292" s="350">
        <f>'Client 7'!W30</f>
        <v>0</v>
      </c>
      <c r="G292" s="2">
        <f>'Client 7'!X30</f>
        <v>0</v>
      </c>
      <c r="H292" s="2">
        <f>'Client 7'!Y30</f>
        <v>0</v>
      </c>
      <c r="I292" s="2">
        <f>'Client 7'!Z30</f>
        <v>0</v>
      </c>
      <c r="J292" s="2">
        <f>'Client 7'!AA30</f>
        <v>0</v>
      </c>
      <c r="K292" s="2">
        <f>'Client 7'!AB30</f>
        <v>0</v>
      </c>
      <c r="L292" s="2" cm="1">
        <f t="array" aca="1" ref="L292" ca="1">IF(B292=0,0,INDIRECT("MRN_"&amp;A292))</f>
        <v>0</v>
      </c>
      <c r="M292" s="2">
        <f t="shared" si="84"/>
        <v>0</v>
      </c>
      <c r="N292" s="2" t="str">
        <f t="shared" si="85"/>
        <v>No</v>
      </c>
      <c r="O292" s="2" t="str">
        <f t="shared" si="86"/>
        <v>No</v>
      </c>
      <c r="P292" s="2" t="str" cm="1">
        <f t="array" aca="1" ref="P292" ca="1">IF(OR(INDIRECT("MRN_"&amp;A292)="N/A",B292=0),"No","Yes")</f>
        <v>No</v>
      </c>
    </row>
    <row r="293" spans="1:16" x14ac:dyDescent="0.2">
      <c r="A293" s="68">
        <v>7</v>
      </c>
      <c r="B293" s="349">
        <f>'Client 7'!S31</f>
        <v>0</v>
      </c>
      <c r="C293" s="2">
        <f>'Client 7'!T31</f>
        <v>0</v>
      </c>
      <c r="D293" s="2">
        <f>'Client 7'!U31</f>
        <v>0</v>
      </c>
      <c r="E293" s="2">
        <f>'Client 7'!V31</f>
        <v>0</v>
      </c>
      <c r="F293" s="350">
        <f>'Client 7'!W31</f>
        <v>0</v>
      </c>
      <c r="G293" s="2">
        <f>'Client 7'!X31</f>
        <v>0</v>
      </c>
      <c r="H293" s="2">
        <f>'Client 7'!Y31</f>
        <v>0</v>
      </c>
      <c r="I293" s="2">
        <f>'Client 7'!Z31</f>
        <v>0</v>
      </c>
      <c r="J293" s="2">
        <f>'Client 7'!AA31</f>
        <v>0</v>
      </c>
      <c r="K293" s="2">
        <f>'Client 7'!AB31</f>
        <v>0</v>
      </c>
      <c r="L293" s="2" cm="1">
        <f t="array" aca="1" ref="L293" ca="1">IF(B293=0,0,INDIRECT("MRN_"&amp;A293))</f>
        <v>0</v>
      </c>
      <c r="M293" s="2">
        <f t="shared" si="84"/>
        <v>0</v>
      </c>
      <c r="N293" s="2" t="str">
        <f t="shared" si="85"/>
        <v>No</v>
      </c>
      <c r="O293" s="2" t="str">
        <f t="shared" si="86"/>
        <v>No</v>
      </c>
      <c r="P293" s="2" t="str" cm="1">
        <f t="array" aca="1" ref="P293" ca="1">IF(OR(INDIRECT("MRN_"&amp;A293)="N/A",B293=0),"No","Yes")</f>
        <v>No</v>
      </c>
    </row>
    <row r="294" spans="1:16" x14ac:dyDescent="0.2">
      <c r="A294" s="68">
        <v>7</v>
      </c>
      <c r="B294" s="349">
        <f>'Client 7'!S32</f>
        <v>0</v>
      </c>
      <c r="C294" s="2">
        <f>'Client 7'!T32</f>
        <v>0</v>
      </c>
      <c r="D294" s="2">
        <f>'Client 7'!U32</f>
        <v>0</v>
      </c>
      <c r="E294" s="2">
        <f>'Client 7'!V32</f>
        <v>0</v>
      </c>
      <c r="F294" s="350">
        <f>'Client 7'!W32</f>
        <v>0</v>
      </c>
      <c r="G294" s="2">
        <f>'Client 7'!X32</f>
        <v>0</v>
      </c>
      <c r="H294" s="2">
        <f>'Client 7'!Y32</f>
        <v>0</v>
      </c>
      <c r="I294" s="2">
        <f>'Client 7'!Z32</f>
        <v>0</v>
      </c>
      <c r="J294" s="2">
        <f>'Client 7'!AA32</f>
        <v>0</v>
      </c>
      <c r="K294" s="2">
        <f>'Client 7'!AB32</f>
        <v>0</v>
      </c>
      <c r="L294" s="2" cm="1">
        <f t="array" aca="1" ref="L294" ca="1">IF(B294=0,0,INDIRECT("MRN_"&amp;A294))</f>
        <v>0</v>
      </c>
      <c r="M294" s="2">
        <f t="shared" si="84"/>
        <v>0</v>
      </c>
      <c r="N294" s="2" t="str">
        <f t="shared" si="85"/>
        <v>No</v>
      </c>
      <c r="O294" s="2" t="str">
        <f t="shared" si="86"/>
        <v>No</v>
      </c>
      <c r="P294" s="2" t="str" cm="1">
        <f t="array" aca="1" ref="P294" ca="1">IF(OR(INDIRECT("MRN_"&amp;A294)="N/A",B294=0),"No","Yes")</f>
        <v>No</v>
      </c>
    </row>
    <row r="295" spans="1:16" x14ac:dyDescent="0.2">
      <c r="A295" s="68">
        <v>7</v>
      </c>
      <c r="B295" s="349">
        <f>'Client 7'!S33</f>
        <v>0</v>
      </c>
      <c r="C295" s="2">
        <f>'Client 7'!T33</f>
        <v>0</v>
      </c>
      <c r="D295" s="2">
        <f>'Client 7'!U33</f>
        <v>0</v>
      </c>
      <c r="E295" s="2">
        <f>'Client 7'!V33</f>
        <v>0</v>
      </c>
      <c r="F295" s="350">
        <f>'Client 7'!W33</f>
        <v>0</v>
      </c>
      <c r="G295" s="2">
        <f>'Client 7'!X33</f>
        <v>0</v>
      </c>
      <c r="H295" s="2">
        <f>'Client 7'!Y33</f>
        <v>0</v>
      </c>
      <c r="I295" s="2">
        <f>'Client 7'!Z33</f>
        <v>0</v>
      </c>
      <c r="J295" s="2">
        <f>'Client 7'!AA33</f>
        <v>0</v>
      </c>
      <c r="K295" s="2">
        <f>'Client 7'!AB33</f>
        <v>0</v>
      </c>
      <c r="L295" s="2" cm="1">
        <f t="array" aca="1" ref="L295" ca="1">IF(B295=0,0,INDIRECT("MRN_"&amp;A295))</f>
        <v>0</v>
      </c>
      <c r="M295" s="2">
        <f t="shared" si="84"/>
        <v>0</v>
      </c>
      <c r="N295" s="2" t="str">
        <f t="shared" si="85"/>
        <v>No</v>
      </c>
      <c r="O295" s="2" t="str">
        <f t="shared" si="86"/>
        <v>No</v>
      </c>
      <c r="P295" s="2" t="str" cm="1">
        <f t="array" aca="1" ref="P295" ca="1">IF(OR(INDIRECT("MRN_"&amp;A295)="N/A",B295=0),"No","Yes")</f>
        <v>No</v>
      </c>
    </row>
    <row r="296" spans="1:16" x14ac:dyDescent="0.2">
      <c r="A296" s="68">
        <v>7</v>
      </c>
      <c r="B296" s="349">
        <f>'Client 7'!S34</f>
        <v>0</v>
      </c>
      <c r="C296" s="2">
        <f>'Client 7'!T34</f>
        <v>0</v>
      </c>
      <c r="D296" s="2">
        <f>'Client 7'!U34</f>
        <v>0</v>
      </c>
      <c r="E296" s="2">
        <f>'Client 7'!V34</f>
        <v>0</v>
      </c>
      <c r="F296" s="350">
        <f>'Client 7'!W34</f>
        <v>0</v>
      </c>
      <c r="G296" s="2">
        <f>'Client 7'!X34</f>
        <v>0</v>
      </c>
      <c r="H296" s="2">
        <f>'Client 7'!Y34</f>
        <v>0</v>
      </c>
      <c r="I296" s="2">
        <f>'Client 7'!Z34</f>
        <v>0</v>
      </c>
      <c r="J296" s="2">
        <f>'Client 7'!AA34</f>
        <v>0</v>
      </c>
      <c r="K296" s="2">
        <f>'Client 7'!AB34</f>
        <v>0</v>
      </c>
      <c r="L296" s="2" cm="1">
        <f t="array" aca="1" ref="L296" ca="1">IF(B296=0,0,INDIRECT("MRN_"&amp;A296))</f>
        <v>0</v>
      </c>
      <c r="M296" s="2">
        <f t="shared" si="84"/>
        <v>0</v>
      </c>
      <c r="N296" s="2" t="str">
        <f t="shared" si="85"/>
        <v>No</v>
      </c>
      <c r="O296" s="2" t="str">
        <f t="shared" si="86"/>
        <v>No</v>
      </c>
      <c r="P296" s="2" t="str" cm="1">
        <f t="array" aca="1" ref="P296" ca="1">IF(OR(INDIRECT("MRN_"&amp;A296)="N/A",B296=0),"No","Yes")</f>
        <v>No</v>
      </c>
    </row>
    <row r="297" spans="1:16" x14ac:dyDescent="0.2">
      <c r="A297" s="68">
        <v>7</v>
      </c>
      <c r="B297" s="349">
        <f>'Client 7'!S35</f>
        <v>0</v>
      </c>
      <c r="C297" s="2">
        <f>'Client 7'!T35</f>
        <v>0</v>
      </c>
      <c r="D297" s="2">
        <f>'Client 7'!U35</f>
        <v>0</v>
      </c>
      <c r="E297" s="2">
        <f>'Client 7'!V35</f>
        <v>0</v>
      </c>
      <c r="F297" s="350">
        <f>'Client 7'!W35</f>
        <v>0</v>
      </c>
      <c r="G297" s="2">
        <f>'Client 7'!X35</f>
        <v>0</v>
      </c>
      <c r="H297" s="2">
        <f>'Client 7'!Y35</f>
        <v>0</v>
      </c>
      <c r="I297" s="2">
        <f>'Client 7'!Z35</f>
        <v>0</v>
      </c>
      <c r="J297" s="2">
        <f>'Client 7'!AA35</f>
        <v>0</v>
      </c>
      <c r="K297" s="2">
        <f>'Client 7'!AB35</f>
        <v>0</v>
      </c>
      <c r="L297" s="2" cm="1">
        <f t="array" aca="1" ref="L297" ca="1">IF(B297=0,0,INDIRECT("MRN_"&amp;A297))</f>
        <v>0</v>
      </c>
      <c r="M297" s="2">
        <f t="shared" si="84"/>
        <v>0</v>
      </c>
      <c r="N297" s="2" t="str">
        <f t="shared" si="85"/>
        <v>No</v>
      </c>
      <c r="O297" s="2" t="str">
        <f t="shared" si="86"/>
        <v>No</v>
      </c>
      <c r="P297" s="2" t="str" cm="1">
        <f t="array" aca="1" ref="P297" ca="1">IF(OR(INDIRECT("MRN_"&amp;A297)="N/A",B297=0),"No","Yes")</f>
        <v>No</v>
      </c>
    </row>
    <row r="298" spans="1:16" x14ac:dyDescent="0.2">
      <c r="A298" s="68">
        <v>7</v>
      </c>
      <c r="B298" s="349">
        <f>'Client 7'!S36</f>
        <v>0</v>
      </c>
      <c r="C298" s="2">
        <f>'Client 7'!T36</f>
        <v>0</v>
      </c>
      <c r="D298" s="2">
        <f>'Client 7'!U36</f>
        <v>0</v>
      </c>
      <c r="E298" s="2">
        <f>'Client 7'!V36</f>
        <v>0</v>
      </c>
      <c r="F298" s="350">
        <f>'Client 7'!W36</f>
        <v>0</v>
      </c>
      <c r="G298" s="2">
        <f>'Client 7'!X36</f>
        <v>0</v>
      </c>
      <c r="H298" s="2">
        <f>'Client 7'!Y36</f>
        <v>0</v>
      </c>
      <c r="I298" s="2">
        <f>'Client 7'!Z36</f>
        <v>0</v>
      </c>
      <c r="J298" s="2">
        <f>'Client 7'!AA36</f>
        <v>0</v>
      </c>
      <c r="K298" s="2">
        <f>'Client 7'!AB36</f>
        <v>0</v>
      </c>
      <c r="L298" s="2" cm="1">
        <f t="array" aca="1" ref="L298" ca="1">IF(B298=0,0,INDIRECT("MRN_"&amp;A298))</f>
        <v>0</v>
      </c>
      <c r="M298" s="2">
        <f t="shared" si="84"/>
        <v>0</v>
      </c>
      <c r="N298" s="2" t="str">
        <f t="shared" si="85"/>
        <v>No</v>
      </c>
      <c r="O298" s="2" t="str">
        <f t="shared" si="86"/>
        <v>No</v>
      </c>
      <c r="P298" s="2" t="str" cm="1">
        <f t="array" aca="1" ref="P298" ca="1">IF(OR(INDIRECT("MRN_"&amp;A298)="N/A",B298=0),"No","Yes")</f>
        <v>No</v>
      </c>
    </row>
    <row r="299" spans="1:16" x14ac:dyDescent="0.2">
      <c r="A299" s="68">
        <v>7</v>
      </c>
      <c r="B299" s="349">
        <f>'Client 7'!S37</f>
        <v>0</v>
      </c>
      <c r="C299" s="2">
        <f>'Client 7'!T37</f>
        <v>0</v>
      </c>
      <c r="D299" s="2">
        <f>'Client 7'!U37</f>
        <v>0</v>
      </c>
      <c r="E299" s="2">
        <f>'Client 7'!V37</f>
        <v>0</v>
      </c>
      <c r="F299" s="350">
        <f>'Client 7'!W37</f>
        <v>0</v>
      </c>
      <c r="G299" s="2">
        <f>'Client 7'!X37</f>
        <v>0</v>
      </c>
      <c r="H299" s="2">
        <f>'Client 7'!Y37</f>
        <v>0</v>
      </c>
      <c r="I299" s="2">
        <f>'Client 7'!Z37</f>
        <v>0</v>
      </c>
      <c r="J299" s="2">
        <f>'Client 7'!AA37</f>
        <v>0</v>
      </c>
      <c r="K299" s="2">
        <f>'Client 7'!AB37</f>
        <v>0</v>
      </c>
      <c r="L299" s="2" cm="1">
        <f t="array" aca="1" ref="L299" ca="1">IF(B299=0,0,INDIRECT("MRN_"&amp;A299))</f>
        <v>0</v>
      </c>
      <c r="M299" s="2">
        <f t="shared" si="84"/>
        <v>0</v>
      </c>
      <c r="N299" s="2" t="str">
        <f t="shared" si="85"/>
        <v>No</v>
      </c>
      <c r="O299" s="2" t="str">
        <f t="shared" si="86"/>
        <v>No</v>
      </c>
      <c r="P299" s="2" t="str" cm="1">
        <f t="array" aca="1" ref="P299" ca="1">IF(OR(INDIRECT("MRN_"&amp;A299)="N/A",B299=0),"No","Yes")</f>
        <v>No</v>
      </c>
    </row>
    <row r="300" spans="1:16" x14ac:dyDescent="0.2">
      <c r="A300" s="68">
        <v>7</v>
      </c>
      <c r="B300" s="349">
        <f>'Client 7'!S38</f>
        <v>0</v>
      </c>
      <c r="C300" s="2">
        <f>'Client 7'!T38</f>
        <v>0</v>
      </c>
      <c r="D300" s="2">
        <f>'Client 7'!U38</f>
        <v>0</v>
      </c>
      <c r="E300" s="2">
        <f>'Client 7'!V38</f>
        <v>0</v>
      </c>
      <c r="F300" s="350">
        <f>'Client 7'!W38</f>
        <v>0</v>
      </c>
      <c r="G300" s="2">
        <f>'Client 7'!X38</f>
        <v>0</v>
      </c>
      <c r="H300" s="2">
        <f>'Client 7'!Y38</f>
        <v>0</v>
      </c>
      <c r="I300" s="2">
        <f>'Client 7'!Z38</f>
        <v>0</v>
      </c>
      <c r="J300" s="2">
        <f>'Client 7'!AA38</f>
        <v>0</v>
      </c>
      <c r="K300" s="2">
        <f>'Client 7'!AB38</f>
        <v>0</v>
      </c>
      <c r="L300" s="2" cm="1">
        <f t="array" aca="1" ref="L300" ca="1">IF(B300=0,0,INDIRECT("MRN_"&amp;A300))</f>
        <v>0</v>
      </c>
      <c r="M300" s="2">
        <f t="shared" si="84"/>
        <v>0</v>
      </c>
      <c r="N300" s="2" t="str">
        <f t="shared" si="85"/>
        <v>No</v>
      </c>
      <c r="O300" s="2" t="str">
        <f t="shared" si="86"/>
        <v>No</v>
      </c>
      <c r="P300" s="2" t="str" cm="1">
        <f t="array" aca="1" ref="P300" ca="1">IF(OR(INDIRECT("MRN_"&amp;A300)="N/A",B300=0),"No","Yes")</f>
        <v>No</v>
      </c>
    </row>
    <row r="301" spans="1:16" x14ac:dyDescent="0.2">
      <c r="A301" s="68">
        <v>8</v>
      </c>
      <c r="B301" s="349">
        <f>'Client 8'!S9</f>
        <v>0</v>
      </c>
      <c r="C301" s="2">
        <f>'Client 8'!T9</f>
        <v>0</v>
      </c>
      <c r="D301" s="2">
        <f>'Client 8'!U9</f>
        <v>0</v>
      </c>
      <c r="E301" s="2">
        <f>'Client 8'!V9</f>
        <v>0</v>
      </c>
      <c r="F301" s="350">
        <f>'Client 8'!W9</f>
        <v>0</v>
      </c>
      <c r="G301" s="2">
        <f>'Client 8'!X9</f>
        <v>0</v>
      </c>
      <c r="H301" s="2">
        <f>'Client 8'!Y9</f>
        <v>0</v>
      </c>
      <c r="I301" s="2">
        <f>'Client 8'!Z9</f>
        <v>0</v>
      </c>
      <c r="J301" s="2">
        <f>'Client 8'!AA9</f>
        <v>0</v>
      </c>
      <c r="K301" s="2">
        <f>'Client 8'!AB9</f>
        <v>0</v>
      </c>
      <c r="L301" s="2" cm="1">
        <f t="array" aca="1" ref="L301" ca="1">IF(B301=0,0,INDIRECT("MRN_"&amp;A301))</f>
        <v>0</v>
      </c>
      <c r="M301" s="2">
        <f t="shared" si="84"/>
        <v>0</v>
      </c>
      <c r="N301" s="2" t="str">
        <f t="shared" si="85"/>
        <v>No</v>
      </c>
      <c r="O301" s="2" t="str">
        <f t="shared" si="86"/>
        <v>No</v>
      </c>
      <c r="P301" s="2" t="str" cm="1">
        <f t="array" aca="1" ref="P301" ca="1">IF(OR(INDIRECT("MRN_"&amp;A301)="N/A",B301=0),"No","Yes")</f>
        <v>No</v>
      </c>
    </row>
    <row r="302" spans="1:16" x14ac:dyDescent="0.2">
      <c r="A302" s="68">
        <v>8</v>
      </c>
      <c r="B302" s="349">
        <f>'Client 8'!S10</f>
        <v>0</v>
      </c>
      <c r="C302" s="2">
        <f>'Client 8'!T10</f>
        <v>0</v>
      </c>
      <c r="D302" s="2">
        <f>'Client 8'!U10</f>
        <v>0</v>
      </c>
      <c r="E302" s="2">
        <f>'Client 8'!V10</f>
        <v>0</v>
      </c>
      <c r="F302" s="350">
        <f>'Client 8'!W10</f>
        <v>0</v>
      </c>
      <c r="G302" s="2">
        <f>'Client 8'!X10</f>
        <v>0</v>
      </c>
      <c r="H302" s="2">
        <f>'Client 8'!Y10</f>
        <v>0</v>
      </c>
      <c r="I302" s="2">
        <f>'Client 8'!Z10</f>
        <v>0</v>
      </c>
      <c r="J302" s="2">
        <f>'Client 8'!AA10</f>
        <v>0</v>
      </c>
      <c r="K302" s="2">
        <f>'Client 8'!AB10</f>
        <v>0</v>
      </c>
      <c r="L302" s="2" cm="1">
        <f t="array" aca="1" ref="L302" ca="1">IF(B302=0,0,INDIRECT("MRN_"&amp;A302))</f>
        <v>0</v>
      </c>
      <c r="M302" s="2">
        <f t="shared" si="84"/>
        <v>0</v>
      </c>
      <c r="N302" s="2" t="str">
        <f t="shared" si="85"/>
        <v>No</v>
      </c>
      <c r="O302" s="2" t="str">
        <f t="shared" si="86"/>
        <v>No</v>
      </c>
      <c r="P302" s="2" t="str" cm="1">
        <f t="array" aca="1" ref="P302" ca="1">IF(OR(INDIRECT("MRN_"&amp;A302)="N/A",B302=0),"No","Yes")</f>
        <v>No</v>
      </c>
    </row>
    <row r="303" spans="1:16" x14ac:dyDescent="0.2">
      <c r="A303" s="68">
        <v>8</v>
      </c>
      <c r="B303" s="349">
        <f>'Client 8'!S11</f>
        <v>0</v>
      </c>
      <c r="C303" s="2">
        <f>'Client 8'!T11</f>
        <v>0</v>
      </c>
      <c r="D303" s="2">
        <f>'Client 8'!U11</f>
        <v>0</v>
      </c>
      <c r="E303" s="2">
        <f>'Client 8'!V11</f>
        <v>0</v>
      </c>
      <c r="F303" s="350">
        <f>'Client 8'!W11</f>
        <v>0</v>
      </c>
      <c r="G303" s="2">
        <f>'Client 8'!X11</f>
        <v>0</v>
      </c>
      <c r="H303" s="2">
        <f>'Client 8'!Y11</f>
        <v>0</v>
      </c>
      <c r="I303" s="2">
        <f>'Client 8'!Z11</f>
        <v>0</v>
      </c>
      <c r="J303" s="2">
        <f>'Client 8'!AA11</f>
        <v>0</v>
      </c>
      <c r="K303" s="2">
        <f>'Client 8'!AB11</f>
        <v>0</v>
      </c>
      <c r="L303" s="2" cm="1">
        <f t="array" aca="1" ref="L303" ca="1">IF(B303=0,0,INDIRECT("MRN_"&amp;A303))</f>
        <v>0</v>
      </c>
      <c r="M303" s="2">
        <f t="shared" si="84"/>
        <v>0</v>
      </c>
      <c r="N303" s="2" t="str">
        <f t="shared" si="85"/>
        <v>No</v>
      </c>
      <c r="O303" s="2" t="str">
        <f t="shared" si="86"/>
        <v>No</v>
      </c>
      <c r="P303" s="2" t="str" cm="1">
        <f t="array" aca="1" ref="P303" ca="1">IF(OR(INDIRECT("MRN_"&amp;A303)="N/A",B303=0),"No","Yes")</f>
        <v>No</v>
      </c>
    </row>
    <row r="304" spans="1:16" x14ac:dyDescent="0.2">
      <c r="A304" s="68">
        <v>8</v>
      </c>
      <c r="B304" s="349">
        <f>'Client 8'!S12</f>
        <v>0</v>
      </c>
      <c r="C304" s="2">
        <f>'Client 8'!T12</f>
        <v>0</v>
      </c>
      <c r="D304" s="2">
        <f>'Client 8'!U12</f>
        <v>0</v>
      </c>
      <c r="E304" s="2">
        <f>'Client 8'!V12</f>
        <v>0</v>
      </c>
      <c r="F304" s="350">
        <f>'Client 8'!W12</f>
        <v>0</v>
      </c>
      <c r="G304" s="2">
        <f>'Client 8'!X12</f>
        <v>0</v>
      </c>
      <c r="H304" s="2">
        <f>'Client 8'!Y12</f>
        <v>0</v>
      </c>
      <c r="I304" s="2">
        <f>'Client 8'!Z12</f>
        <v>0</v>
      </c>
      <c r="J304" s="2">
        <f>'Client 8'!AA12</f>
        <v>0</v>
      </c>
      <c r="K304" s="2">
        <f>'Client 8'!AB12</f>
        <v>0</v>
      </c>
      <c r="L304" s="2" cm="1">
        <f t="array" aca="1" ref="L304" ca="1">IF(B304=0,0,INDIRECT("MRN_"&amp;A304))</f>
        <v>0</v>
      </c>
      <c r="M304" s="2">
        <f t="shared" si="84"/>
        <v>0</v>
      </c>
      <c r="N304" s="2" t="str">
        <f t="shared" si="85"/>
        <v>No</v>
      </c>
      <c r="O304" s="2" t="str">
        <f t="shared" si="86"/>
        <v>No</v>
      </c>
      <c r="P304" s="2" t="str" cm="1">
        <f t="array" aca="1" ref="P304" ca="1">IF(OR(INDIRECT("MRN_"&amp;A304)="N/A",B304=0),"No","Yes")</f>
        <v>No</v>
      </c>
    </row>
    <row r="305" spans="1:16" x14ac:dyDescent="0.2">
      <c r="A305" s="68">
        <v>8</v>
      </c>
      <c r="B305" s="349">
        <f>'Client 8'!S13</f>
        <v>0</v>
      </c>
      <c r="C305" s="2">
        <f>'Client 8'!T13</f>
        <v>0</v>
      </c>
      <c r="D305" s="2">
        <f>'Client 8'!U13</f>
        <v>0</v>
      </c>
      <c r="E305" s="2">
        <f>'Client 8'!V13</f>
        <v>0</v>
      </c>
      <c r="F305" s="350">
        <f>'Client 8'!W13</f>
        <v>0</v>
      </c>
      <c r="G305" s="2">
        <f>'Client 8'!X13</f>
        <v>0</v>
      </c>
      <c r="H305" s="2">
        <f>'Client 8'!Y13</f>
        <v>0</v>
      </c>
      <c r="I305" s="2">
        <f>'Client 8'!Z13</f>
        <v>0</v>
      </c>
      <c r="J305" s="2">
        <f>'Client 8'!AA13</f>
        <v>0</v>
      </c>
      <c r="K305" s="2">
        <f>'Client 8'!AB13</f>
        <v>0</v>
      </c>
      <c r="L305" s="2" cm="1">
        <f t="array" aca="1" ref="L305" ca="1">IF(B305=0,0,INDIRECT("MRN_"&amp;A305))</f>
        <v>0</v>
      </c>
      <c r="M305" s="2">
        <f t="shared" si="84"/>
        <v>0</v>
      </c>
      <c r="N305" s="2" t="str">
        <f t="shared" si="85"/>
        <v>No</v>
      </c>
      <c r="O305" s="2" t="str">
        <f t="shared" si="86"/>
        <v>No</v>
      </c>
      <c r="P305" s="2" t="str" cm="1">
        <f t="array" aca="1" ref="P305" ca="1">IF(OR(INDIRECT("MRN_"&amp;A305)="N/A",B305=0),"No","Yes")</f>
        <v>No</v>
      </c>
    </row>
    <row r="306" spans="1:16" x14ac:dyDescent="0.2">
      <c r="A306" s="68">
        <v>8</v>
      </c>
      <c r="B306" s="349">
        <f>'Client 8'!S14</f>
        <v>0</v>
      </c>
      <c r="C306" s="2">
        <f>'Client 8'!T14</f>
        <v>0</v>
      </c>
      <c r="D306" s="2">
        <f>'Client 8'!U14</f>
        <v>0</v>
      </c>
      <c r="E306" s="2">
        <f>'Client 8'!V14</f>
        <v>0</v>
      </c>
      <c r="F306" s="350">
        <f>'Client 8'!W14</f>
        <v>0</v>
      </c>
      <c r="G306" s="2">
        <f>'Client 8'!X14</f>
        <v>0</v>
      </c>
      <c r="H306" s="2">
        <f>'Client 8'!Y14</f>
        <v>0</v>
      </c>
      <c r="I306" s="2">
        <f>'Client 8'!Z14</f>
        <v>0</v>
      </c>
      <c r="J306" s="2">
        <f>'Client 8'!AA14</f>
        <v>0</v>
      </c>
      <c r="K306" s="2">
        <f>'Client 8'!AB14</f>
        <v>0</v>
      </c>
      <c r="L306" s="2" cm="1">
        <f t="array" aca="1" ref="L306" ca="1">IF(B306=0,0,INDIRECT("MRN_"&amp;A306))</f>
        <v>0</v>
      </c>
      <c r="M306" s="2">
        <f t="shared" si="84"/>
        <v>0</v>
      </c>
      <c r="N306" s="2" t="str">
        <f t="shared" si="85"/>
        <v>No</v>
      </c>
      <c r="O306" s="2" t="str">
        <f t="shared" si="86"/>
        <v>No</v>
      </c>
      <c r="P306" s="2" t="str" cm="1">
        <f t="array" aca="1" ref="P306" ca="1">IF(OR(INDIRECT("MRN_"&amp;A306)="N/A",B306=0),"No","Yes")</f>
        <v>No</v>
      </c>
    </row>
    <row r="307" spans="1:16" x14ac:dyDescent="0.2">
      <c r="A307" s="68">
        <v>8</v>
      </c>
      <c r="B307" s="349">
        <f>'Client 8'!S15</f>
        <v>0</v>
      </c>
      <c r="C307" s="2">
        <f>'Client 8'!T15</f>
        <v>0</v>
      </c>
      <c r="D307" s="2">
        <f>'Client 8'!U15</f>
        <v>0</v>
      </c>
      <c r="E307" s="2">
        <f>'Client 8'!V15</f>
        <v>0</v>
      </c>
      <c r="F307" s="350">
        <f>'Client 8'!W15</f>
        <v>0</v>
      </c>
      <c r="G307" s="2">
        <f>'Client 8'!X15</f>
        <v>0</v>
      </c>
      <c r="H307" s="2">
        <f>'Client 8'!Y15</f>
        <v>0</v>
      </c>
      <c r="I307" s="2">
        <f>'Client 8'!Z15</f>
        <v>0</v>
      </c>
      <c r="J307" s="2">
        <f>'Client 8'!AA15</f>
        <v>0</v>
      </c>
      <c r="K307" s="2">
        <f>'Client 8'!AB15</f>
        <v>0</v>
      </c>
      <c r="L307" s="2" cm="1">
        <f t="array" aca="1" ref="L307" ca="1">IF(B307=0,0,INDIRECT("MRN_"&amp;A307))</f>
        <v>0</v>
      </c>
      <c r="M307" s="2">
        <f t="shared" si="84"/>
        <v>0</v>
      </c>
      <c r="N307" s="2" t="str">
        <f t="shared" si="85"/>
        <v>No</v>
      </c>
      <c r="O307" s="2" t="str">
        <f t="shared" si="86"/>
        <v>No</v>
      </c>
      <c r="P307" s="2" t="str" cm="1">
        <f t="array" aca="1" ref="P307" ca="1">IF(OR(INDIRECT("MRN_"&amp;A307)="N/A",B307=0),"No","Yes")</f>
        <v>No</v>
      </c>
    </row>
    <row r="308" spans="1:16" x14ac:dyDescent="0.2">
      <c r="A308" s="68">
        <v>8</v>
      </c>
      <c r="B308" s="349">
        <f>'Client 8'!S16</f>
        <v>0</v>
      </c>
      <c r="C308" s="2">
        <f>'Client 8'!T16</f>
        <v>0</v>
      </c>
      <c r="D308" s="2">
        <f>'Client 8'!U16</f>
        <v>0</v>
      </c>
      <c r="E308" s="2">
        <f>'Client 8'!V16</f>
        <v>0</v>
      </c>
      <c r="F308" s="350">
        <f>'Client 8'!W16</f>
        <v>0</v>
      </c>
      <c r="G308" s="2">
        <f>'Client 8'!X16</f>
        <v>0</v>
      </c>
      <c r="H308" s="2">
        <f>'Client 8'!Y16</f>
        <v>0</v>
      </c>
      <c r="I308" s="2">
        <f>'Client 8'!Z16</f>
        <v>0</v>
      </c>
      <c r="J308" s="2">
        <f>'Client 8'!AA16</f>
        <v>0</v>
      </c>
      <c r="K308" s="2">
        <f>'Client 8'!AB16</f>
        <v>0</v>
      </c>
      <c r="L308" s="2" cm="1">
        <f t="array" aca="1" ref="L308" ca="1">IF(B308=0,0,INDIRECT("MRN_"&amp;A308))</f>
        <v>0</v>
      </c>
      <c r="M308" s="2">
        <f t="shared" si="84"/>
        <v>0</v>
      </c>
      <c r="N308" s="2" t="str">
        <f t="shared" si="85"/>
        <v>No</v>
      </c>
      <c r="O308" s="2" t="str">
        <f t="shared" si="86"/>
        <v>No</v>
      </c>
      <c r="P308" s="2" t="str" cm="1">
        <f t="array" aca="1" ref="P308" ca="1">IF(OR(INDIRECT("MRN_"&amp;A308)="N/A",B308=0),"No","Yes")</f>
        <v>No</v>
      </c>
    </row>
    <row r="309" spans="1:16" x14ac:dyDescent="0.2">
      <c r="A309" s="68">
        <v>8</v>
      </c>
      <c r="B309" s="349">
        <f>'Client 8'!S17</f>
        <v>0</v>
      </c>
      <c r="C309" s="2">
        <f>'Client 8'!T17</f>
        <v>0</v>
      </c>
      <c r="D309" s="2">
        <f>'Client 8'!U17</f>
        <v>0</v>
      </c>
      <c r="E309" s="2">
        <f>'Client 8'!V17</f>
        <v>0</v>
      </c>
      <c r="F309" s="350">
        <f>'Client 8'!W17</f>
        <v>0</v>
      </c>
      <c r="G309" s="2">
        <f>'Client 8'!X17</f>
        <v>0</v>
      </c>
      <c r="H309" s="2">
        <f>'Client 8'!Y17</f>
        <v>0</v>
      </c>
      <c r="I309" s="2">
        <f>'Client 8'!Z17</f>
        <v>0</v>
      </c>
      <c r="J309" s="2">
        <f>'Client 8'!AA17</f>
        <v>0</v>
      </c>
      <c r="K309" s="2">
        <f>'Client 8'!AB17</f>
        <v>0</v>
      </c>
      <c r="L309" s="2" cm="1">
        <f t="array" aca="1" ref="L309" ca="1">IF(B309=0,0,INDIRECT("MRN_"&amp;A309))</f>
        <v>0</v>
      </c>
      <c r="M309" s="2">
        <f t="shared" si="84"/>
        <v>0</v>
      </c>
      <c r="N309" s="2" t="str">
        <f t="shared" si="85"/>
        <v>No</v>
      </c>
      <c r="O309" s="2" t="str">
        <f t="shared" si="86"/>
        <v>No</v>
      </c>
      <c r="P309" s="2" t="str" cm="1">
        <f t="array" aca="1" ref="P309" ca="1">IF(OR(INDIRECT("MRN_"&amp;A309)="N/A",B309=0),"No","Yes")</f>
        <v>No</v>
      </c>
    </row>
    <row r="310" spans="1:16" x14ac:dyDescent="0.2">
      <c r="A310" s="68">
        <v>8</v>
      </c>
      <c r="B310" s="349">
        <f>'Client 8'!S18</f>
        <v>0</v>
      </c>
      <c r="C310" s="2">
        <f>'Client 8'!T18</f>
        <v>0</v>
      </c>
      <c r="D310" s="2">
        <f>'Client 8'!U18</f>
        <v>0</v>
      </c>
      <c r="E310" s="2">
        <f>'Client 8'!V18</f>
        <v>0</v>
      </c>
      <c r="F310" s="350">
        <f>'Client 8'!W18</f>
        <v>0</v>
      </c>
      <c r="G310" s="2">
        <f>'Client 8'!X18</f>
        <v>0</v>
      </c>
      <c r="H310" s="2">
        <f>'Client 8'!Y18</f>
        <v>0</v>
      </c>
      <c r="I310" s="2">
        <f>'Client 8'!Z18</f>
        <v>0</v>
      </c>
      <c r="J310" s="2">
        <f>'Client 8'!AA18</f>
        <v>0</v>
      </c>
      <c r="K310" s="2">
        <f>'Client 8'!AB18</f>
        <v>0</v>
      </c>
      <c r="L310" s="2" cm="1">
        <f t="array" aca="1" ref="L310" ca="1">IF(B310=0,0,INDIRECT("MRN_"&amp;A310))</f>
        <v>0</v>
      </c>
      <c r="M310" s="2">
        <f t="shared" si="84"/>
        <v>0</v>
      </c>
      <c r="N310" s="2" t="str">
        <f t="shared" si="85"/>
        <v>No</v>
      </c>
      <c r="O310" s="2" t="str">
        <f t="shared" si="86"/>
        <v>No</v>
      </c>
      <c r="P310" s="2" t="str" cm="1">
        <f t="array" aca="1" ref="P310" ca="1">IF(OR(INDIRECT("MRN_"&amp;A310)="N/A",B310=0),"No","Yes")</f>
        <v>No</v>
      </c>
    </row>
    <row r="311" spans="1:16" x14ac:dyDescent="0.2">
      <c r="A311" s="68">
        <v>8</v>
      </c>
      <c r="B311" s="349">
        <f>'Client 8'!S19</f>
        <v>0</v>
      </c>
      <c r="C311" s="2">
        <f>'Client 8'!T19</f>
        <v>0</v>
      </c>
      <c r="D311" s="2">
        <f>'Client 8'!U19</f>
        <v>0</v>
      </c>
      <c r="E311" s="2">
        <f>'Client 8'!V19</f>
        <v>0</v>
      </c>
      <c r="F311" s="350">
        <f>'Client 8'!W19</f>
        <v>0</v>
      </c>
      <c r="G311" s="2">
        <f>'Client 8'!X19</f>
        <v>0</v>
      </c>
      <c r="H311" s="2">
        <f>'Client 8'!Y19</f>
        <v>0</v>
      </c>
      <c r="I311" s="2">
        <f>'Client 8'!Z19</f>
        <v>0</v>
      </c>
      <c r="J311" s="2">
        <f>'Client 8'!AA19</f>
        <v>0</v>
      </c>
      <c r="K311" s="2">
        <f>'Client 8'!AB19</f>
        <v>0</v>
      </c>
      <c r="L311" s="2" cm="1">
        <f t="array" aca="1" ref="L311" ca="1">IF(B311=0,0,INDIRECT("MRN_"&amp;A311))</f>
        <v>0</v>
      </c>
      <c r="M311" s="2">
        <f t="shared" si="84"/>
        <v>0</v>
      </c>
      <c r="N311" s="2" t="str">
        <f t="shared" si="85"/>
        <v>No</v>
      </c>
      <c r="O311" s="2" t="str">
        <f t="shared" si="86"/>
        <v>No</v>
      </c>
      <c r="P311" s="2" t="str" cm="1">
        <f t="array" aca="1" ref="P311" ca="1">IF(OR(INDIRECT("MRN_"&amp;A311)="N/A",B311=0),"No","Yes")</f>
        <v>No</v>
      </c>
    </row>
    <row r="312" spans="1:16" x14ac:dyDescent="0.2">
      <c r="A312" s="68">
        <v>8</v>
      </c>
      <c r="B312" s="349">
        <f>'Client 8'!S20</f>
        <v>0</v>
      </c>
      <c r="C312" s="2">
        <f>'Client 8'!T20</f>
        <v>0</v>
      </c>
      <c r="D312" s="2">
        <f>'Client 8'!U20</f>
        <v>0</v>
      </c>
      <c r="E312" s="2">
        <f>'Client 8'!V20</f>
        <v>0</v>
      </c>
      <c r="F312" s="350">
        <f>'Client 8'!W20</f>
        <v>0</v>
      </c>
      <c r="G312" s="2">
        <f>'Client 8'!X20</f>
        <v>0</v>
      </c>
      <c r="H312" s="2">
        <f>'Client 8'!Y20</f>
        <v>0</v>
      </c>
      <c r="I312" s="2">
        <f>'Client 8'!Z20</f>
        <v>0</v>
      </c>
      <c r="J312" s="2">
        <f>'Client 8'!AA20</f>
        <v>0</v>
      </c>
      <c r="K312" s="2">
        <f>'Client 8'!AB20</f>
        <v>0</v>
      </c>
      <c r="L312" s="2" cm="1">
        <f t="array" aca="1" ref="L312" ca="1">IF(B312=0,0,INDIRECT("MRN_"&amp;A312))</f>
        <v>0</v>
      </c>
      <c r="M312" s="2">
        <f t="shared" si="84"/>
        <v>0</v>
      </c>
      <c r="N312" s="2" t="str">
        <f t="shared" si="85"/>
        <v>No</v>
      </c>
      <c r="O312" s="2" t="str">
        <f t="shared" si="86"/>
        <v>No</v>
      </c>
      <c r="P312" s="2" t="str" cm="1">
        <f t="array" aca="1" ref="P312" ca="1">IF(OR(INDIRECT("MRN_"&amp;A312)="N/A",B312=0),"No","Yes")</f>
        <v>No</v>
      </c>
    </row>
    <row r="313" spans="1:16" x14ac:dyDescent="0.2">
      <c r="A313" s="68">
        <v>8</v>
      </c>
      <c r="B313" s="349">
        <f>'Client 8'!S21</f>
        <v>0</v>
      </c>
      <c r="C313" s="2">
        <f>'Client 8'!T21</f>
        <v>0</v>
      </c>
      <c r="D313" s="2">
        <f>'Client 8'!U21</f>
        <v>0</v>
      </c>
      <c r="E313" s="2">
        <f>'Client 8'!V21</f>
        <v>0</v>
      </c>
      <c r="F313" s="350">
        <f>'Client 8'!W21</f>
        <v>0</v>
      </c>
      <c r="G313" s="2">
        <f>'Client 8'!X21</f>
        <v>0</v>
      </c>
      <c r="H313" s="2">
        <f>'Client 8'!Y21</f>
        <v>0</v>
      </c>
      <c r="I313" s="2">
        <f>'Client 8'!Z21</f>
        <v>0</v>
      </c>
      <c r="J313" s="2">
        <f>'Client 8'!AA21</f>
        <v>0</v>
      </c>
      <c r="K313" s="2">
        <f>'Client 8'!AB21</f>
        <v>0</v>
      </c>
      <c r="L313" s="2" cm="1">
        <f t="array" aca="1" ref="L313" ca="1">IF(B313=0,0,INDIRECT("MRN_"&amp;A313))</f>
        <v>0</v>
      </c>
      <c r="M313" s="2">
        <f t="shared" si="84"/>
        <v>0</v>
      </c>
      <c r="N313" s="2" t="str">
        <f t="shared" si="85"/>
        <v>No</v>
      </c>
      <c r="O313" s="2" t="str">
        <f t="shared" si="86"/>
        <v>No</v>
      </c>
      <c r="P313" s="2" t="str" cm="1">
        <f t="array" aca="1" ref="P313" ca="1">IF(OR(INDIRECT("MRN_"&amp;A313)="N/A",B313=0),"No","Yes")</f>
        <v>No</v>
      </c>
    </row>
    <row r="314" spans="1:16" x14ac:dyDescent="0.2">
      <c r="A314" s="68">
        <v>8</v>
      </c>
      <c r="B314" s="349">
        <f>'Client 8'!S22</f>
        <v>0</v>
      </c>
      <c r="C314" s="2">
        <f>'Client 8'!T22</f>
        <v>0</v>
      </c>
      <c r="D314" s="2">
        <f>'Client 8'!U22</f>
        <v>0</v>
      </c>
      <c r="E314" s="2">
        <f>'Client 8'!V22</f>
        <v>0</v>
      </c>
      <c r="F314" s="350">
        <f>'Client 8'!W22</f>
        <v>0</v>
      </c>
      <c r="G314" s="2">
        <f>'Client 8'!X22</f>
        <v>0</v>
      </c>
      <c r="H314" s="2">
        <f>'Client 8'!Y22</f>
        <v>0</v>
      </c>
      <c r="I314" s="2">
        <f>'Client 8'!Z22</f>
        <v>0</v>
      </c>
      <c r="J314" s="2">
        <f>'Client 8'!AA22</f>
        <v>0</v>
      </c>
      <c r="K314" s="2">
        <f>'Client 8'!AB22</f>
        <v>0</v>
      </c>
      <c r="L314" s="2" cm="1">
        <f t="array" aca="1" ref="L314" ca="1">IF(B314=0,0,INDIRECT("MRN_"&amp;A314))</f>
        <v>0</v>
      </c>
      <c r="M314" s="2">
        <f t="shared" si="84"/>
        <v>0</v>
      </c>
      <c r="N314" s="2" t="str">
        <f t="shared" si="85"/>
        <v>No</v>
      </c>
      <c r="O314" s="2" t="str">
        <f t="shared" si="86"/>
        <v>No</v>
      </c>
      <c r="P314" s="2" t="str" cm="1">
        <f t="array" aca="1" ref="P314" ca="1">IF(OR(INDIRECT("MRN_"&amp;A314)="N/A",B314=0),"No","Yes")</f>
        <v>No</v>
      </c>
    </row>
    <row r="315" spans="1:16" x14ac:dyDescent="0.2">
      <c r="A315" s="68">
        <v>8</v>
      </c>
      <c r="B315" s="349">
        <f>'Client 8'!S23</f>
        <v>0</v>
      </c>
      <c r="C315" s="2">
        <f>'Client 8'!T23</f>
        <v>0</v>
      </c>
      <c r="D315" s="2">
        <f>'Client 8'!U23</f>
        <v>0</v>
      </c>
      <c r="E315" s="2">
        <f>'Client 8'!V23</f>
        <v>0</v>
      </c>
      <c r="F315" s="350">
        <f>'Client 8'!W23</f>
        <v>0</v>
      </c>
      <c r="G315" s="2">
        <f>'Client 8'!X23</f>
        <v>0</v>
      </c>
      <c r="H315" s="2">
        <f>'Client 8'!Y23</f>
        <v>0</v>
      </c>
      <c r="I315" s="2">
        <f>'Client 8'!Z23</f>
        <v>0</v>
      </c>
      <c r="J315" s="2">
        <f>'Client 8'!AA23</f>
        <v>0</v>
      </c>
      <c r="K315" s="2">
        <f>'Client 8'!AB23</f>
        <v>0</v>
      </c>
      <c r="L315" s="2" cm="1">
        <f t="array" aca="1" ref="L315" ca="1">IF(B315=0,0,INDIRECT("MRN_"&amp;A315))</f>
        <v>0</v>
      </c>
      <c r="M315" s="2">
        <f t="shared" si="84"/>
        <v>0</v>
      </c>
      <c r="N315" s="2" t="str">
        <f t="shared" si="85"/>
        <v>No</v>
      </c>
      <c r="O315" s="2" t="str">
        <f t="shared" si="86"/>
        <v>No</v>
      </c>
      <c r="P315" s="2" t="str" cm="1">
        <f t="array" aca="1" ref="P315" ca="1">IF(OR(INDIRECT("MRN_"&amp;A315)="N/A",B315=0),"No","Yes")</f>
        <v>No</v>
      </c>
    </row>
    <row r="316" spans="1:16" x14ac:dyDescent="0.2">
      <c r="A316" s="68">
        <v>8</v>
      </c>
      <c r="B316" s="349">
        <f>'Client 8'!S24</f>
        <v>0</v>
      </c>
      <c r="C316" s="2">
        <f>'Client 8'!T24</f>
        <v>0</v>
      </c>
      <c r="D316" s="2">
        <f>'Client 8'!U24</f>
        <v>0</v>
      </c>
      <c r="E316" s="2">
        <f>'Client 8'!V24</f>
        <v>0</v>
      </c>
      <c r="F316" s="350">
        <f>'Client 8'!W24</f>
        <v>0</v>
      </c>
      <c r="G316" s="2">
        <f>'Client 8'!X24</f>
        <v>0</v>
      </c>
      <c r="H316" s="2">
        <f>'Client 8'!Y24</f>
        <v>0</v>
      </c>
      <c r="I316" s="2">
        <f>'Client 8'!Z24</f>
        <v>0</v>
      </c>
      <c r="J316" s="2">
        <f>'Client 8'!AA24</f>
        <v>0</v>
      </c>
      <c r="K316" s="2">
        <f>'Client 8'!AB24</f>
        <v>0</v>
      </c>
      <c r="L316" s="2" cm="1">
        <f t="array" aca="1" ref="L316" ca="1">IF(B316=0,0,INDIRECT("MRN_"&amp;A316))</f>
        <v>0</v>
      </c>
      <c r="M316" s="2">
        <f t="shared" si="84"/>
        <v>0</v>
      </c>
      <c r="N316" s="2" t="str">
        <f t="shared" si="85"/>
        <v>No</v>
      </c>
      <c r="O316" s="2" t="str">
        <f t="shared" si="86"/>
        <v>No</v>
      </c>
      <c r="P316" s="2" t="str" cm="1">
        <f t="array" aca="1" ref="P316" ca="1">IF(OR(INDIRECT("MRN_"&amp;A316)="N/A",B316=0),"No","Yes")</f>
        <v>No</v>
      </c>
    </row>
    <row r="317" spans="1:16" x14ac:dyDescent="0.2">
      <c r="A317" s="68">
        <v>8</v>
      </c>
      <c r="B317" s="349">
        <f>'Client 8'!S25</f>
        <v>0</v>
      </c>
      <c r="C317" s="2">
        <f>'Client 8'!T25</f>
        <v>0</v>
      </c>
      <c r="D317" s="2">
        <f>'Client 8'!U25</f>
        <v>0</v>
      </c>
      <c r="E317" s="2">
        <f>'Client 8'!V25</f>
        <v>0</v>
      </c>
      <c r="F317" s="350">
        <f>'Client 8'!W25</f>
        <v>0</v>
      </c>
      <c r="G317" s="2">
        <f>'Client 8'!X25</f>
        <v>0</v>
      </c>
      <c r="H317" s="2">
        <f>'Client 8'!Y25</f>
        <v>0</v>
      </c>
      <c r="I317" s="2">
        <f>'Client 8'!Z25</f>
        <v>0</v>
      </c>
      <c r="J317" s="2">
        <f>'Client 8'!AA25</f>
        <v>0</v>
      </c>
      <c r="K317" s="2">
        <f>'Client 8'!AB25</f>
        <v>0</v>
      </c>
      <c r="L317" s="2" cm="1">
        <f t="array" aca="1" ref="L317" ca="1">IF(B317=0,0,INDIRECT("MRN_"&amp;A317))</f>
        <v>0</v>
      </c>
      <c r="M317" s="2">
        <f t="shared" si="84"/>
        <v>0</v>
      </c>
      <c r="N317" s="2" t="str">
        <f t="shared" si="85"/>
        <v>No</v>
      </c>
      <c r="O317" s="2" t="str">
        <f t="shared" si="86"/>
        <v>No</v>
      </c>
      <c r="P317" s="2" t="str" cm="1">
        <f t="array" aca="1" ref="P317" ca="1">IF(OR(INDIRECT("MRN_"&amp;A317)="N/A",B317=0),"No","Yes")</f>
        <v>No</v>
      </c>
    </row>
    <row r="318" spans="1:16" x14ac:dyDescent="0.2">
      <c r="A318" s="68">
        <v>8</v>
      </c>
      <c r="B318" s="349">
        <f>'Client 8'!S26</f>
        <v>0</v>
      </c>
      <c r="C318" s="2">
        <f>'Client 8'!T26</f>
        <v>0</v>
      </c>
      <c r="D318" s="2">
        <f>'Client 8'!U26</f>
        <v>0</v>
      </c>
      <c r="E318" s="2">
        <f>'Client 8'!V26</f>
        <v>0</v>
      </c>
      <c r="F318" s="350">
        <f>'Client 8'!W26</f>
        <v>0</v>
      </c>
      <c r="G318" s="2">
        <f>'Client 8'!X26</f>
        <v>0</v>
      </c>
      <c r="H318" s="2">
        <f>'Client 8'!Y26</f>
        <v>0</v>
      </c>
      <c r="I318" s="2">
        <f>'Client 8'!Z26</f>
        <v>0</v>
      </c>
      <c r="J318" s="2">
        <f>'Client 8'!AA26</f>
        <v>0</v>
      </c>
      <c r="K318" s="2">
        <f>'Client 8'!AB26</f>
        <v>0</v>
      </c>
      <c r="L318" s="2" cm="1">
        <f t="array" aca="1" ref="L318" ca="1">IF(B318=0,0,INDIRECT("MRN_"&amp;A318))</f>
        <v>0</v>
      </c>
      <c r="M318" s="2">
        <f t="shared" si="84"/>
        <v>0</v>
      </c>
      <c r="N318" s="2" t="str">
        <f t="shared" si="85"/>
        <v>No</v>
      </c>
      <c r="O318" s="2" t="str">
        <f t="shared" si="86"/>
        <v>No</v>
      </c>
      <c r="P318" s="2" t="str" cm="1">
        <f t="array" aca="1" ref="P318" ca="1">IF(OR(INDIRECT("MRN_"&amp;A318)="N/A",B318=0),"No","Yes")</f>
        <v>No</v>
      </c>
    </row>
    <row r="319" spans="1:16" x14ac:dyDescent="0.2">
      <c r="A319" s="68">
        <v>8</v>
      </c>
      <c r="B319" s="349">
        <f>'Client 8'!S27</f>
        <v>0</v>
      </c>
      <c r="C319" s="2">
        <f>'Client 8'!T27</f>
        <v>0</v>
      </c>
      <c r="D319" s="2">
        <f>'Client 8'!U27</f>
        <v>0</v>
      </c>
      <c r="E319" s="2">
        <f>'Client 8'!V27</f>
        <v>0</v>
      </c>
      <c r="F319" s="350">
        <f>'Client 8'!W27</f>
        <v>0</v>
      </c>
      <c r="G319" s="2">
        <f>'Client 8'!X27</f>
        <v>0</v>
      </c>
      <c r="H319" s="2">
        <f>'Client 8'!Y27</f>
        <v>0</v>
      </c>
      <c r="I319" s="2">
        <f>'Client 8'!Z27</f>
        <v>0</v>
      </c>
      <c r="J319" s="2">
        <f>'Client 8'!AA27</f>
        <v>0</v>
      </c>
      <c r="K319" s="2">
        <f>'Client 8'!AB27</f>
        <v>0</v>
      </c>
      <c r="L319" s="2" cm="1">
        <f t="array" aca="1" ref="L319" ca="1">IF(B319=0,0,INDIRECT("MRN_"&amp;A319))</f>
        <v>0</v>
      </c>
      <c r="M319" s="2">
        <f t="shared" si="84"/>
        <v>0</v>
      </c>
      <c r="N319" s="2" t="str">
        <f t="shared" si="85"/>
        <v>No</v>
      </c>
      <c r="O319" s="2" t="str">
        <f t="shared" si="86"/>
        <v>No</v>
      </c>
      <c r="P319" s="2" t="str" cm="1">
        <f t="array" aca="1" ref="P319" ca="1">IF(OR(INDIRECT("MRN_"&amp;A319)="N/A",B319=0),"No","Yes")</f>
        <v>No</v>
      </c>
    </row>
    <row r="320" spans="1:16" x14ac:dyDescent="0.2">
      <c r="A320" s="68">
        <v>8</v>
      </c>
      <c r="B320" s="349">
        <f>'Client 8'!S28</f>
        <v>0</v>
      </c>
      <c r="C320" s="2">
        <f>'Client 8'!T28</f>
        <v>0</v>
      </c>
      <c r="D320" s="2">
        <f>'Client 8'!U28</f>
        <v>0</v>
      </c>
      <c r="E320" s="2">
        <f>'Client 8'!V28</f>
        <v>0</v>
      </c>
      <c r="F320" s="350">
        <f>'Client 8'!W28</f>
        <v>0</v>
      </c>
      <c r="G320" s="2">
        <f>'Client 8'!X28</f>
        <v>0</v>
      </c>
      <c r="H320" s="2">
        <f>'Client 8'!Y28</f>
        <v>0</v>
      </c>
      <c r="I320" s="2">
        <f>'Client 8'!Z28</f>
        <v>0</v>
      </c>
      <c r="J320" s="2">
        <f>'Client 8'!AA28</f>
        <v>0</v>
      </c>
      <c r="K320" s="2">
        <f>'Client 8'!AB28</f>
        <v>0</v>
      </c>
      <c r="L320" s="2" cm="1">
        <f t="array" aca="1" ref="L320" ca="1">IF(B320=0,0,INDIRECT("MRN_"&amp;A320))</f>
        <v>0</v>
      </c>
      <c r="M320" s="2">
        <f t="shared" si="84"/>
        <v>0</v>
      </c>
      <c r="N320" s="2" t="str">
        <f t="shared" si="85"/>
        <v>No</v>
      </c>
      <c r="O320" s="2" t="str">
        <f t="shared" si="86"/>
        <v>No</v>
      </c>
      <c r="P320" s="2" t="str" cm="1">
        <f t="array" aca="1" ref="P320" ca="1">IF(OR(INDIRECT("MRN_"&amp;A320)="N/A",B320=0),"No","Yes")</f>
        <v>No</v>
      </c>
    </row>
    <row r="321" spans="1:16" x14ac:dyDescent="0.2">
      <c r="A321" s="68">
        <v>8</v>
      </c>
      <c r="B321" s="349">
        <f>'Client 8'!S29</f>
        <v>0</v>
      </c>
      <c r="C321" s="2">
        <f>'Client 8'!T29</f>
        <v>0</v>
      </c>
      <c r="D321" s="2">
        <f>'Client 8'!U29</f>
        <v>0</v>
      </c>
      <c r="E321" s="2">
        <f>'Client 8'!V29</f>
        <v>0</v>
      </c>
      <c r="F321" s="350">
        <f>'Client 8'!W29</f>
        <v>0</v>
      </c>
      <c r="G321" s="2">
        <f>'Client 8'!X29</f>
        <v>0</v>
      </c>
      <c r="H321" s="2">
        <f>'Client 8'!Y29</f>
        <v>0</v>
      </c>
      <c r="I321" s="2">
        <f>'Client 8'!Z29</f>
        <v>0</v>
      </c>
      <c r="J321" s="2">
        <f>'Client 8'!AA29</f>
        <v>0</v>
      </c>
      <c r="K321" s="2">
        <f>'Client 8'!AB29</f>
        <v>0</v>
      </c>
      <c r="L321" s="2" cm="1">
        <f t="array" aca="1" ref="L321" ca="1">IF(B321=0,0,INDIRECT("MRN_"&amp;A321))</f>
        <v>0</v>
      </c>
      <c r="M321" s="2">
        <f t="shared" si="84"/>
        <v>0</v>
      </c>
      <c r="N321" s="2" t="str">
        <f t="shared" si="85"/>
        <v>No</v>
      </c>
      <c r="O321" s="2" t="str">
        <f t="shared" si="86"/>
        <v>No</v>
      </c>
      <c r="P321" s="2" t="str" cm="1">
        <f t="array" aca="1" ref="P321" ca="1">IF(OR(INDIRECT("MRN_"&amp;A321)="N/A",B321=0),"No","Yes")</f>
        <v>No</v>
      </c>
    </row>
    <row r="322" spans="1:16" x14ac:dyDescent="0.2">
      <c r="A322" s="68">
        <v>8</v>
      </c>
      <c r="B322" s="349">
        <f>'Client 8'!S30</f>
        <v>0</v>
      </c>
      <c r="C322" s="2">
        <f>'Client 8'!T30</f>
        <v>0</v>
      </c>
      <c r="D322" s="2">
        <f>'Client 8'!U30</f>
        <v>0</v>
      </c>
      <c r="E322" s="2">
        <f>'Client 8'!V30</f>
        <v>0</v>
      </c>
      <c r="F322" s="350">
        <f>'Client 8'!W30</f>
        <v>0</v>
      </c>
      <c r="G322" s="2">
        <f>'Client 8'!X30</f>
        <v>0</v>
      </c>
      <c r="H322" s="2">
        <f>'Client 8'!Y30</f>
        <v>0</v>
      </c>
      <c r="I322" s="2">
        <f>'Client 8'!Z30</f>
        <v>0</v>
      </c>
      <c r="J322" s="2">
        <f>'Client 8'!AA30</f>
        <v>0</v>
      </c>
      <c r="K322" s="2">
        <f>'Client 8'!AB30</f>
        <v>0</v>
      </c>
      <c r="L322" s="2" cm="1">
        <f t="array" aca="1" ref="L322" ca="1">IF(B322=0,0,INDIRECT("MRN_"&amp;A322))</f>
        <v>0</v>
      </c>
      <c r="M322" s="2">
        <f t="shared" si="84"/>
        <v>0</v>
      </c>
      <c r="N322" s="2" t="str">
        <f t="shared" si="85"/>
        <v>No</v>
      </c>
      <c r="O322" s="2" t="str">
        <f t="shared" si="86"/>
        <v>No</v>
      </c>
      <c r="P322" s="2" t="str" cm="1">
        <f t="array" aca="1" ref="P322" ca="1">IF(OR(INDIRECT("MRN_"&amp;A322)="N/A",B322=0),"No","Yes")</f>
        <v>No</v>
      </c>
    </row>
    <row r="323" spans="1:16" x14ac:dyDescent="0.2">
      <c r="A323" s="68">
        <v>8</v>
      </c>
      <c r="B323" s="349">
        <f>'Client 8'!S31</f>
        <v>0</v>
      </c>
      <c r="C323" s="2">
        <f>'Client 8'!T31</f>
        <v>0</v>
      </c>
      <c r="D323" s="2">
        <f>'Client 8'!U31</f>
        <v>0</v>
      </c>
      <c r="E323" s="2">
        <f>'Client 8'!V31</f>
        <v>0</v>
      </c>
      <c r="F323" s="350">
        <f>'Client 8'!W31</f>
        <v>0</v>
      </c>
      <c r="G323" s="2">
        <f>'Client 8'!X31</f>
        <v>0</v>
      </c>
      <c r="H323" s="2">
        <f>'Client 8'!Y31</f>
        <v>0</v>
      </c>
      <c r="I323" s="2">
        <f>'Client 8'!Z31</f>
        <v>0</v>
      </c>
      <c r="J323" s="2">
        <f>'Client 8'!AA31</f>
        <v>0</v>
      </c>
      <c r="K323" s="2">
        <f>'Client 8'!AB31</f>
        <v>0</v>
      </c>
      <c r="L323" s="2" cm="1">
        <f t="array" aca="1" ref="L323" ca="1">IF(B323=0,0,INDIRECT("MRN_"&amp;A323))</f>
        <v>0</v>
      </c>
      <c r="M323" s="2">
        <f t="shared" si="84"/>
        <v>0</v>
      </c>
      <c r="N323" s="2" t="str">
        <f t="shared" si="85"/>
        <v>No</v>
      </c>
      <c r="O323" s="2" t="str">
        <f t="shared" si="86"/>
        <v>No</v>
      </c>
      <c r="P323" s="2" t="str" cm="1">
        <f t="array" aca="1" ref="P323" ca="1">IF(OR(INDIRECT("MRN_"&amp;A323)="N/A",B323=0),"No","Yes")</f>
        <v>No</v>
      </c>
    </row>
    <row r="324" spans="1:16" x14ac:dyDescent="0.2">
      <c r="A324" s="68">
        <v>8</v>
      </c>
      <c r="B324" s="349">
        <f>'Client 8'!S32</f>
        <v>0</v>
      </c>
      <c r="C324" s="2">
        <f>'Client 8'!T32</f>
        <v>0</v>
      </c>
      <c r="D324" s="2">
        <f>'Client 8'!U32</f>
        <v>0</v>
      </c>
      <c r="E324" s="2">
        <f>'Client 8'!V32</f>
        <v>0</v>
      </c>
      <c r="F324" s="350">
        <f>'Client 8'!W32</f>
        <v>0</v>
      </c>
      <c r="G324" s="2">
        <f>'Client 8'!X32</f>
        <v>0</v>
      </c>
      <c r="H324" s="2">
        <f>'Client 8'!Y32</f>
        <v>0</v>
      </c>
      <c r="I324" s="2">
        <f>'Client 8'!Z32</f>
        <v>0</v>
      </c>
      <c r="J324" s="2">
        <f>'Client 8'!AA32</f>
        <v>0</v>
      </c>
      <c r="K324" s="2">
        <f>'Client 8'!AB32</f>
        <v>0</v>
      </c>
      <c r="L324" s="2" cm="1">
        <f t="array" aca="1" ref="L324" ca="1">IF(B324=0,0,INDIRECT("MRN_"&amp;A324))</f>
        <v>0</v>
      </c>
      <c r="M324" s="2">
        <f t="shared" si="84"/>
        <v>0</v>
      </c>
      <c r="N324" s="2" t="str">
        <f t="shared" si="85"/>
        <v>No</v>
      </c>
      <c r="O324" s="2" t="str">
        <f t="shared" si="86"/>
        <v>No</v>
      </c>
      <c r="P324" s="2" t="str" cm="1">
        <f t="array" aca="1" ref="P324" ca="1">IF(OR(INDIRECT("MRN_"&amp;A324)="N/A",B324=0),"No","Yes")</f>
        <v>No</v>
      </c>
    </row>
    <row r="325" spans="1:16" x14ac:dyDescent="0.2">
      <c r="A325" s="68">
        <v>8</v>
      </c>
      <c r="B325" s="349">
        <f>'Client 8'!S33</f>
        <v>0</v>
      </c>
      <c r="C325" s="2">
        <f>'Client 8'!T33</f>
        <v>0</v>
      </c>
      <c r="D325" s="2">
        <f>'Client 8'!U33</f>
        <v>0</v>
      </c>
      <c r="E325" s="2">
        <f>'Client 8'!V33</f>
        <v>0</v>
      </c>
      <c r="F325" s="350">
        <f>'Client 8'!W33</f>
        <v>0</v>
      </c>
      <c r="G325" s="2">
        <f>'Client 8'!X33</f>
        <v>0</v>
      </c>
      <c r="H325" s="2">
        <f>'Client 8'!Y33</f>
        <v>0</v>
      </c>
      <c r="I325" s="2">
        <f>'Client 8'!Z33</f>
        <v>0</v>
      </c>
      <c r="J325" s="2">
        <f>'Client 8'!AA33</f>
        <v>0</v>
      </c>
      <c r="K325" s="2">
        <f>'Client 8'!AB33</f>
        <v>0</v>
      </c>
      <c r="L325" s="2" cm="1">
        <f t="array" aca="1" ref="L325" ca="1">IF(B325=0,0,INDIRECT("MRN_"&amp;A325))</f>
        <v>0</v>
      </c>
      <c r="M325" s="2">
        <f t="shared" si="84"/>
        <v>0</v>
      </c>
      <c r="N325" s="2" t="str">
        <f t="shared" si="85"/>
        <v>No</v>
      </c>
      <c r="O325" s="2" t="str">
        <f t="shared" si="86"/>
        <v>No</v>
      </c>
      <c r="P325" s="2" t="str" cm="1">
        <f t="array" aca="1" ref="P325" ca="1">IF(OR(INDIRECT("MRN_"&amp;A325)="N/A",B325=0),"No","Yes")</f>
        <v>No</v>
      </c>
    </row>
    <row r="326" spans="1:16" x14ac:dyDescent="0.2">
      <c r="A326" s="68">
        <v>8</v>
      </c>
      <c r="B326" s="349">
        <f>'Client 8'!S34</f>
        <v>0</v>
      </c>
      <c r="C326" s="2">
        <f>'Client 8'!T34</f>
        <v>0</v>
      </c>
      <c r="D326" s="2">
        <f>'Client 8'!U34</f>
        <v>0</v>
      </c>
      <c r="E326" s="2">
        <f>'Client 8'!V34</f>
        <v>0</v>
      </c>
      <c r="F326" s="350">
        <f>'Client 8'!W34</f>
        <v>0</v>
      </c>
      <c r="G326" s="2">
        <f>'Client 8'!X34</f>
        <v>0</v>
      </c>
      <c r="H326" s="2">
        <f>'Client 8'!Y34</f>
        <v>0</v>
      </c>
      <c r="I326" s="2">
        <f>'Client 8'!Z34</f>
        <v>0</v>
      </c>
      <c r="J326" s="2">
        <f>'Client 8'!AA34</f>
        <v>0</v>
      </c>
      <c r="K326" s="2">
        <f>'Client 8'!AB34</f>
        <v>0</v>
      </c>
      <c r="L326" s="2" cm="1">
        <f t="array" aca="1" ref="L326" ca="1">IF(B326=0,0,INDIRECT("MRN_"&amp;A326))</f>
        <v>0</v>
      </c>
      <c r="M326" s="2">
        <f t="shared" si="84"/>
        <v>0</v>
      </c>
      <c r="N326" s="2" t="str">
        <f t="shared" si="85"/>
        <v>No</v>
      </c>
      <c r="O326" s="2" t="str">
        <f t="shared" si="86"/>
        <v>No</v>
      </c>
      <c r="P326" s="2" t="str" cm="1">
        <f t="array" aca="1" ref="P326" ca="1">IF(OR(INDIRECT("MRN_"&amp;A326)="N/A",B326=0),"No","Yes")</f>
        <v>No</v>
      </c>
    </row>
    <row r="327" spans="1:16" x14ac:dyDescent="0.2">
      <c r="A327" s="68">
        <v>8</v>
      </c>
      <c r="B327" s="349">
        <f>'Client 8'!S35</f>
        <v>0</v>
      </c>
      <c r="C327" s="2">
        <f>'Client 8'!T35</f>
        <v>0</v>
      </c>
      <c r="D327" s="2">
        <f>'Client 8'!U35</f>
        <v>0</v>
      </c>
      <c r="E327" s="2">
        <f>'Client 8'!V35</f>
        <v>0</v>
      </c>
      <c r="F327" s="350">
        <f>'Client 8'!W35</f>
        <v>0</v>
      </c>
      <c r="G327" s="2">
        <f>'Client 8'!X35</f>
        <v>0</v>
      </c>
      <c r="H327" s="2">
        <f>'Client 8'!Y35</f>
        <v>0</v>
      </c>
      <c r="I327" s="2">
        <f>'Client 8'!Z35</f>
        <v>0</v>
      </c>
      <c r="J327" s="2">
        <f>'Client 8'!AA35</f>
        <v>0</v>
      </c>
      <c r="K327" s="2">
        <f>'Client 8'!AB35</f>
        <v>0</v>
      </c>
      <c r="L327" s="2" cm="1">
        <f t="array" aca="1" ref="L327" ca="1">IF(B327=0,0,INDIRECT("MRN_"&amp;A327))</f>
        <v>0</v>
      </c>
      <c r="M327" s="2">
        <f t="shared" si="84"/>
        <v>0</v>
      </c>
      <c r="N327" s="2" t="str">
        <f t="shared" si="85"/>
        <v>No</v>
      </c>
      <c r="O327" s="2" t="str">
        <f t="shared" si="86"/>
        <v>No</v>
      </c>
      <c r="P327" s="2" t="str" cm="1">
        <f t="array" aca="1" ref="P327" ca="1">IF(OR(INDIRECT("MRN_"&amp;A327)="N/A",B327=0),"No","Yes")</f>
        <v>No</v>
      </c>
    </row>
    <row r="328" spans="1:16" x14ac:dyDescent="0.2">
      <c r="A328" s="68">
        <v>8</v>
      </c>
      <c r="B328" s="349">
        <f>'Client 8'!S36</f>
        <v>0</v>
      </c>
      <c r="C328" s="2">
        <f>'Client 8'!T36</f>
        <v>0</v>
      </c>
      <c r="D328" s="2">
        <f>'Client 8'!U36</f>
        <v>0</v>
      </c>
      <c r="E328" s="2">
        <f>'Client 8'!V36</f>
        <v>0</v>
      </c>
      <c r="F328" s="350">
        <f>'Client 8'!W36</f>
        <v>0</v>
      </c>
      <c r="G328" s="2">
        <f>'Client 8'!X36</f>
        <v>0</v>
      </c>
      <c r="H328" s="2">
        <f>'Client 8'!Y36</f>
        <v>0</v>
      </c>
      <c r="I328" s="2">
        <f>'Client 8'!Z36</f>
        <v>0</v>
      </c>
      <c r="J328" s="2">
        <f>'Client 8'!AA36</f>
        <v>0</v>
      </c>
      <c r="K328" s="2">
        <f>'Client 8'!AB36</f>
        <v>0</v>
      </c>
      <c r="L328" s="2" cm="1">
        <f t="array" aca="1" ref="L328" ca="1">IF(B328=0,0,INDIRECT("MRN_"&amp;A328))</f>
        <v>0</v>
      </c>
      <c r="M328" s="2">
        <f t="shared" si="84"/>
        <v>0</v>
      </c>
      <c r="N328" s="2" t="str">
        <f t="shared" si="85"/>
        <v>No</v>
      </c>
      <c r="O328" s="2" t="str">
        <f t="shared" si="86"/>
        <v>No</v>
      </c>
      <c r="P328" s="2" t="str" cm="1">
        <f t="array" aca="1" ref="P328" ca="1">IF(OR(INDIRECT("MRN_"&amp;A328)="N/A",B328=0),"No","Yes")</f>
        <v>No</v>
      </c>
    </row>
    <row r="329" spans="1:16" x14ac:dyDescent="0.2">
      <c r="A329" s="68">
        <v>8</v>
      </c>
      <c r="B329" s="349">
        <f>'Client 8'!S37</f>
        <v>0</v>
      </c>
      <c r="C329" s="2">
        <f>'Client 8'!T37</f>
        <v>0</v>
      </c>
      <c r="D329" s="2">
        <f>'Client 8'!U37</f>
        <v>0</v>
      </c>
      <c r="E329" s="2">
        <f>'Client 8'!V37</f>
        <v>0</v>
      </c>
      <c r="F329" s="350">
        <f>'Client 8'!W37</f>
        <v>0</v>
      </c>
      <c r="G329" s="2">
        <f>'Client 8'!X37</f>
        <v>0</v>
      </c>
      <c r="H329" s="2">
        <f>'Client 8'!Y37</f>
        <v>0</v>
      </c>
      <c r="I329" s="2">
        <f>'Client 8'!Z37</f>
        <v>0</v>
      </c>
      <c r="J329" s="2">
        <f>'Client 8'!AA37</f>
        <v>0</v>
      </c>
      <c r="K329" s="2">
        <f>'Client 8'!AB37</f>
        <v>0</v>
      </c>
      <c r="L329" s="2" cm="1">
        <f t="array" aca="1" ref="L329" ca="1">IF(B329=0,0,INDIRECT("MRN_"&amp;A329))</f>
        <v>0</v>
      </c>
      <c r="M329" s="2">
        <f t="shared" si="84"/>
        <v>0</v>
      </c>
      <c r="N329" s="2" t="str">
        <f t="shared" si="85"/>
        <v>No</v>
      </c>
      <c r="O329" s="2" t="str">
        <f t="shared" si="86"/>
        <v>No</v>
      </c>
      <c r="P329" s="2" t="str" cm="1">
        <f t="array" aca="1" ref="P329" ca="1">IF(OR(INDIRECT("MRN_"&amp;A329)="N/A",B329=0),"No","Yes")</f>
        <v>No</v>
      </c>
    </row>
    <row r="330" spans="1:16" x14ac:dyDescent="0.2">
      <c r="A330" s="68">
        <v>8</v>
      </c>
      <c r="B330" s="349">
        <f>'Client 8'!S38</f>
        <v>0</v>
      </c>
      <c r="C330" s="2">
        <f>'Client 8'!T38</f>
        <v>0</v>
      </c>
      <c r="D330" s="2">
        <f>'Client 8'!U38</f>
        <v>0</v>
      </c>
      <c r="E330" s="2">
        <f>'Client 8'!V38</f>
        <v>0</v>
      </c>
      <c r="F330" s="350">
        <f>'Client 8'!W38</f>
        <v>0</v>
      </c>
      <c r="G330" s="2">
        <f>'Client 8'!X38</f>
        <v>0</v>
      </c>
      <c r="H330" s="2">
        <f>'Client 8'!Y38</f>
        <v>0</v>
      </c>
      <c r="I330" s="2">
        <f>'Client 8'!Z38</f>
        <v>0</v>
      </c>
      <c r="J330" s="2">
        <f>'Client 8'!AA38</f>
        <v>0</v>
      </c>
      <c r="K330" s="2">
        <f>'Client 8'!AB38</f>
        <v>0</v>
      </c>
      <c r="L330" s="2" cm="1">
        <f t="array" aca="1" ref="L330" ca="1">IF(B330=0,0,INDIRECT("MRN_"&amp;A330))</f>
        <v>0</v>
      </c>
      <c r="M330" s="2">
        <f t="shared" si="84"/>
        <v>0</v>
      </c>
      <c r="N330" s="2" t="str">
        <f t="shared" si="85"/>
        <v>No</v>
      </c>
      <c r="O330" s="2" t="str">
        <f t="shared" si="86"/>
        <v>No</v>
      </c>
      <c r="P330" s="2" t="str" cm="1">
        <f t="array" aca="1" ref="P330" ca="1">IF(OR(INDIRECT("MRN_"&amp;A330)="N/A",B330=0),"No","Yes")</f>
        <v>No</v>
      </c>
    </row>
    <row r="331" spans="1:16" x14ac:dyDescent="0.2">
      <c r="A331" s="68">
        <v>9</v>
      </c>
      <c r="B331" s="349">
        <f>'Client 9'!S9</f>
        <v>0</v>
      </c>
      <c r="C331" s="2">
        <f>'Client 9'!T9</f>
        <v>0</v>
      </c>
      <c r="D331" s="2">
        <f>'Client 9'!U9</f>
        <v>0</v>
      </c>
      <c r="E331" s="2">
        <f>'Client 9'!V9</f>
        <v>0</v>
      </c>
      <c r="F331" s="350">
        <f>'Client 9'!W9</f>
        <v>0</v>
      </c>
      <c r="G331" s="2">
        <f>'Client 9'!X9</f>
        <v>0</v>
      </c>
      <c r="H331" s="2">
        <f>'Client 9'!Y9</f>
        <v>0</v>
      </c>
      <c r="I331" s="2">
        <f>'Client 9'!Z9</f>
        <v>0</v>
      </c>
      <c r="J331" s="2">
        <f>'Client 9'!AA9</f>
        <v>0</v>
      </c>
      <c r="K331" s="2">
        <f>'Client 9'!AB9</f>
        <v>0</v>
      </c>
      <c r="L331" s="2" cm="1">
        <f t="array" aca="1" ref="L331" ca="1">IF(B331=0,0,INDIRECT("MRN_"&amp;A331))</f>
        <v>0</v>
      </c>
      <c r="M331" s="2">
        <f t="shared" si="84"/>
        <v>0</v>
      </c>
      <c r="N331" s="2" t="str">
        <f t="shared" si="85"/>
        <v>No</v>
      </c>
      <c r="O331" s="2" t="str">
        <f t="shared" si="86"/>
        <v>No</v>
      </c>
      <c r="P331" s="2" t="str" cm="1">
        <f t="array" aca="1" ref="P331" ca="1">IF(OR(INDIRECT("MRN_"&amp;A331)="N/A",B331=0),"No","Yes")</f>
        <v>No</v>
      </c>
    </row>
    <row r="332" spans="1:16" x14ac:dyDescent="0.2">
      <c r="A332" s="68">
        <v>9</v>
      </c>
      <c r="B332" s="349">
        <f>'Client 9'!S10</f>
        <v>0</v>
      </c>
      <c r="C332" s="2">
        <f>'Client 9'!T10</f>
        <v>0</v>
      </c>
      <c r="D332" s="2">
        <f>'Client 9'!U10</f>
        <v>0</v>
      </c>
      <c r="E332" s="2">
        <f>'Client 9'!V10</f>
        <v>0</v>
      </c>
      <c r="F332" s="350">
        <f>'Client 9'!W10</f>
        <v>0</v>
      </c>
      <c r="G332" s="2">
        <f>'Client 9'!X10</f>
        <v>0</v>
      </c>
      <c r="H332" s="2">
        <f>'Client 9'!Y10</f>
        <v>0</v>
      </c>
      <c r="I332" s="2">
        <f>'Client 9'!Z10</f>
        <v>0</v>
      </c>
      <c r="J332" s="2">
        <f>'Client 9'!AA10</f>
        <v>0</v>
      </c>
      <c r="K332" s="2">
        <f>'Client 9'!AB10</f>
        <v>0</v>
      </c>
      <c r="L332" s="2" cm="1">
        <f t="array" aca="1" ref="L332" ca="1">IF(B332=0,0,INDIRECT("MRN_"&amp;A332))</f>
        <v>0</v>
      </c>
      <c r="M332" s="2">
        <f t="shared" si="84"/>
        <v>0</v>
      </c>
      <c r="N332" s="2" t="str">
        <f t="shared" si="85"/>
        <v>No</v>
      </c>
      <c r="O332" s="2" t="str">
        <f t="shared" si="86"/>
        <v>No</v>
      </c>
      <c r="P332" s="2" t="str" cm="1">
        <f t="array" aca="1" ref="P332" ca="1">IF(OR(INDIRECT("MRN_"&amp;A332)="N/A",B332=0),"No","Yes")</f>
        <v>No</v>
      </c>
    </row>
    <row r="333" spans="1:16" x14ac:dyDescent="0.2">
      <c r="A333" s="68">
        <v>9</v>
      </c>
      <c r="B333" s="349">
        <f>'Client 9'!S11</f>
        <v>0</v>
      </c>
      <c r="C333" s="2">
        <f>'Client 9'!T11</f>
        <v>0</v>
      </c>
      <c r="D333" s="2">
        <f>'Client 9'!U11</f>
        <v>0</v>
      </c>
      <c r="E333" s="2">
        <f>'Client 9'!V11</f>
        <v>0</v>
      </c>
      <c r="F333" s="350">
        <f>'Client 9'!W11</f>
        <v>0</v>
      </c>
      <c r="G333" s="2">
        <f>'Client 9'!X11</f>
        <v>0</v>
      </c>
      <c r="H333" s="2">
        <f>'Client 9'!Y11</f>
        <v>0</v>
      </c>
      <c r="I333" s="2">
        <f>'Client 9'!Z11</f>
        <v>0</v>
      </c>
      <c r="J333" s="2">
        <f>'Client 9'!AA11</f>
        <v>0</v>
      </c>
      <c r="K333" s="2">
        <f>'Client 9'!AB11</f>
        <v>0</v>
      </c>
      <c r="L333" s="2" cm="1">
        <f t="array" aca="1" ref="L333" ca="1">IF(B333=0,0,INDIRECT("MRN_"&amp;A333))</f>
        <v>0</v>
      </c>
      <c r="M333" s="2">
        <f t="shared" si="84"/>
        <v>0</v>
      </c>
      <c r="N333" s="2" t="str">
        <f t="shared" si="85"/>
        <v>No</v>
      </c>
      <c r="O333" s="2" t="str">
        <f t="shared" si="86"/>
        <v>No</v>
      </c>
      <c r="P333" s="2" t="str" cm="1">
        <f t="array" aca="1" ref="P333" ca="1">IF(OR(INDIRECT("MRN_"&amp;A333)="N/A",B333=0),"No","Yes")</f>
        <v>No</v>
      </c>
    </row>
    <row r="334" spans="1:16" x14ac:dyDescent="0.2">
      <c r="A334" s="68">
        <v>9</v>
      </c>
      <c r="B334" s="349">
        <f>'Client 9'!S12</f>
        <v>0</v>
      </c>
      <c r="C334" s="2">
        <f>'Client 9'!T12</f>
        <v>0</v>
      </c>
      <c r="D334" s="2">
        <f>'Client 9'!U12</f>
        <v>0</v>
      </c>
      <c r="E334" s="2">
        <f>'Client 9'!V12</f>
        <v>0</v>
      </c>
      <c r="F334" s="350">
        <f>'Client 9'!W12</f>
        <v>0</v>
      </c>
      <c r="G334" s="2">
        <f>'Client 9'!X12</f>
        <v>0</v>
      </c>
      <c r="H334" s="2">
        <f>'Client 9'!Y12</f>
        <v>0</v>
      </c>
      <c r="I334" s="2">
        <f>'Client 9'!Z12</f>
        <v>0</v>
      </c>
      <c r="J334" s="2">
        <f>'Client 9'!AA12</f>
        <v>0</v>
      </c>
      <c r="K334" s="2">
        <f>'Client 9'!AB12</f>
        <v>0</v>
      </c>
      <c r="L334" s="2" cm="1">
        <f t="array" aca="1" ref="L334" ca="1">IF(B334=0,0,INDIRECT("MRN_"&amp;A334))</f>
        <v>0</v>
      </c>
      <c r="M334" s="2">
        <f t="shared" si="84"/>
        <v>0</v>
      </c>
      <c r="N334" s="2" t="str">
        <f t="shared" si="85"/>
        <v>No</v>
      </c>
      <c r="O334" s="2" t="str">
        <f t="shared" si="86"/>
        <v>No</v>
      </c>
      <c r="P334" s="2" t="str" cm="1">
        <f t="array" aca="1" ref="P334" ca="1">IF(OR(INDIRECT("MRN_"&amp;A334)="N/A",B334=0),"No","Yes")</f>
        <v>No</v>
      </c>
    </row>
    <row r="335" spans="1:16" x14ac:dyDescent="0.2">
      <c r="A335" s="68">
        <v>9</v>
      </c>
      <c r="B335" s="349">
        <f>'Client 9'!S13</f>
        <v>0</v>
      </c>
      <c r="C335" s="2">
        <f>'Client 9'!T13</f>
        <v>0</v>
      </c>
      <c r="D335" s="2">
        <f>'Client 9'!U13</f>
        <v>0</v>
      </c>
      <c r="E335" s="2">
        <f>'Client 9'!V13</f>
        <v>0</v>
      </c>
      <c r="F335" s="350">
        <f>'Client 9'!W13</f>
        <v>0</v>
      </c>
      <c r="G335" s="2">
        <f>'Client 9'!X13</f>
        <v>0</v>
      </c>
      <c r="H335" s="2">
        <f>'Client 9'!Y13</f>
        <v>0</v>
      </c>
      <c r="I335" s="2">
        <f>'Client 9'!Z13</f>
        <v>0</v>
      </c>
      <c r="J335" s="2">
        <f>'Client 9'!AA13</f>
        <v>0</v>
      </c>
      <c r="K335" s="2">
        <f>'Client 9'!AB13</f>
        <v>0</v>
      </c>
      <c r="L335" s="2" cm="1">
        <f t="array" aca="1" ref="L335" ca="1">IF(B335=0,0,INDIRECT("MRN_"&amp;A335))</f>
        <v>0</v>
      </c>
      <c r="M335" s="2">
        <f t="shared" si="84"/>
        <v>0</v>
      </c>
      <c r="N335" s="2" t="str">
        <f t="shared" si="85"/>
        <v>No</v>
      </c>
      <c r="O335" s="2" t="str">
        <f t="shared" si="86"/>
        <v>No</v>
      </c>
      <c r="P335" s="2" t="str" cm="1">
        <f t="array" aca="1" ref="P335" ca="1">IF(OR(INDIRECT("MRN_"&amp;A335)="N/A",B335=0),"No","Yes")</f>
        <v>No</v>
      </c>
    </row>
    <row r="336" spans="1:16" x14ac:dyDescent="0.2">
      <c r="A336" s="68">
        <v>9</v>
      </c>
      <c r="B336" s="349">
        <f>'Client 9'!S14</f>
        <v>0</v>
      </c>
      <c r="C336" s="2">
        <f>'Client 9'!T14</f>
        <v>0</v>
      </c>
      <c r="D336" s="2">
        <f>'Client 9'!U14</f>
        <v>0</v>
      </c>
      <c r="E336" s="2">
        <f>'Client 9'!V14</f>
        <v>0</v>
      </c>
      <c r="F336" s="350">
        <f>'Client 9'!W14</f>
        <v>0</v>
      </c>
      <c r="G336" s="2">
        <f>'Client 9'!X14</f>
        <v>0</v>
      </c>
      <c r="H336" s="2">
        <f>'Client 9'!Y14</f>
        <v>0</v>
      </c>
      <c r="I336" s="2">
        <f>'Client 9'!Z14</f>
        <v>0</v>
      </c>
      <c r="J336" s="2">
        <f>'Client 9'!AA14</f>
        <v>0</v>
      </c>
      <c r="K336" s="2">
        <f>'Client 9'!AB14</f>
        <v>0</v>
      </c>
      <c r="L336" s="2" cm="1">
        <f t="array" aca="1" ref="L336" ca="1">IF(B336=0,0,INDIRECT("MRN_"&amp;A336))</f>
        <v>0</v>
      </c>
      <c r="M336" s="2">
        <f t="shared" si="84"/>
        <v>0</v>
      </c>
      <c r="N336" s="2" t="str">
        <f t="shared" si="85"/>
        <v>No</v>
      </c>
      <c r="O336" s="2" t="str">
        <f t="shared" si="86"/>
        <v>No</v>
      </c>
      <c r="P336" s="2" t="str" cm="1">
        <f t="array" aca="1" ref="P336" ca="1">IF(OR(INDIRECT("MRN_"&amp;A336)="N/A",B336=0),"No","Yes")</f>
        <v>No</v>
      </c>
    </row>
    <row r="337" spans="1:16" x14ac:dyDescent="0.2">
      <c r="A337" s="68">
        <v>9</v>
      </c>
      <c r="B337" s="349">
        <f>'Client 9'!S15</f>
        <v>0</v>
      </c>
      <c r="C337" s="2">
        <f>'Client 9'!T15</f>
        <v>0</v>
      </c>
      <c r="D337" s="2">
        <f>'Client 9'!U15</f>
        <v>0</v>
      </c>
      <c r="E337" s="2">
        <f>'Client 9'!V15</f>
        <v>0</v>
      </c>
      <c r="F337" s="350">
        <f>'Client 9'!W15</f>
        <v>0</v>
      </c>
      <c r="G337" s="2">
        <f>'Client 9'!X15</f>
        <v>0</v>
      </c>
      <c r="H337" s="2">
        <f>'Client 9'!Y15</f>
        <v>0</v>
      </c>
      <c r="I337" s="2">
        <f>'Client 9'!Z15</f>
        <v>0</v>
      </c>
      <c r="J337" s="2">
        <f>'Client 9'!AA15</f>
        <v>0</v>
      </c>
      <c r="K337" s="2">
        <f>'Client 9'!AB15</f>
        <v>0</v>
      </c>
      <c r="L337" s="2" cm="1">
        <f t="array" aca="1" ref="L337" ca="1">IF(B337=0,0,INDIRECT("MRN_"&amp;A337))</f>
        <v>0</v>
      </c>
      <c r="M337" s="2">
        <f t="shared" si="84"/>
        <v>0</v>
      </c>
      <c r="N337" s="2" t="str">
        <f t="shared" si="85"/>
        <v>No</v>
      </c>
      <c r="O337" s="2" t="str">
        <f t="shared" si="86"/>
        <v>No</v>
      </c>
      <c r="P337" s="2" t="str" cm="1">
        <f t="array" aca="1" ref="P337" ca="1">IF(OR(INDIRECT("MRN_"&amp;A337)="N/A",B337=0),"No","Yes")</f>
        <v>No</v>
      </c>
    </row>
    <row r="338" spans="1:16" x14ac:dyDescent="0.2">
      <c r="A338" s="68">
        <v>9</v>
      </c>
      <c r="B338" s="349">
        <f>'Client 9'!S16</f>
        <v>0</v>
      </c>
      <c r="C338" s="2">
        <f>'Client 9'!T16</f>
        <v>0</v>
      </c>
      <c r="D338" s="2">
        <f>'Client 9'!U16</f>
        <v>0</v>
      </c>
      <c r="E338" s="2">
        <f>'Client 9'!V16</f>
        <v>0</v>
      </c>
      <c r="F338" s="350">
        <f>'Client 9'!W16</f>
        <v>0</v>
      </c>
      <c r="G338" s="2">
        <f>'Client 9'!X16</f>
        <v>0</v>
      </c>
      <c r="H338" s="2">
        <f>'Client 9'!Y16</f>
        <v>0</v>
      </c>
      <c r="I338" s="2">
        <f>'Client 9'!Z16</f>
        <v>0</v>
      </c>
      <c r="J338" s="2">
        <f>'Client 9'!AA16</f>
        <v>0</v>
      </c>
      <c r="K338" s="2">
        <f>'Client 9'!AB16</f>
        <v>0</v>
      </c>
      <c r="L338" s="2" cm="1">
        <f t="array" aca="1" ref="L338" ca="1">IF(B338=0,0,INDIRECT("MRN_"&amp;A338))</f>
        <v>0</v>
      </c>
      <c r="M338" s="2">
        <f t="shared" si="84"/>
        <v>0</v>
      </c>
      <c r="N338" s="2" t="str">
        <f t="shared" si="85"/>
        <v>No</v>
      </c>
      <c r="O338" s="2" t="str">
        <f t="shared" si="86"/>
        <v>No</v>
      </c>
      <c r="P338" s="2" t="str" cm="1">
        <f t="array" aca="1" ref="P338" ca="1">IF(OR(INDIRECT("MRN_"&amp;A338)="N/A",B338=0),"No","Yes")</f>
        <v>No</v>
      </c>
    </row>
    <row r="339" spans="1:16" x14ac:dyDescent="0.2">
      <c r="A339" s="68">
        <v>9</v>
      </c>
      <c r="B339" s="349">
        <f>'Client 9'!S17</f>
        <v>0</v>
      </c>
      <c r="C339" s="2">
        <f>'Client 9'!T17</f>
        <v>0</v>
      </c>
      <c r="D339" s="2">
        <f>'Client 9'!U17</f>
        <v>0</v>
      </c>
      <c r="E339" s="2">
        <f>'Client 9'!V17</f>
        <v>0</v>
      </c>
      <c r="F339" s="350">
        <f>'Client 9'!W17</f>
        <v>0</v>
      </c>
      <c r="G339" s="2">
        <f>'Client 9'!X17</f>
        <v>0</v>
      </c>
      <c r="H339" s="2">
        <f>'Client 9'!Y17</f>
        <v>0</v>
      </c>
      <c r="I339" s="2">
        <f>'Client 9'!Z17</f>
        <v>0</v>
      </c>
      <c r="J339" s="2">
        <f>'Client 9'!AA17</f>
        <v>0</v>
      </c>
      <c r="K339" s="2">
        <f>'Client 9'!AB17</f>
        <v>0</v>
      </c>
      <c r="L339" s="2" cm="1">
        <f t="array" aca="1" ref="L339" ca="1">IF(B339=0,0,INDIRECT("MRN_"&amp;A339))</f>
        <v>0</v>
      </c>
      <c r="M339" s="2">
        <f t="shared" si="84"/>
        <v>0</v>
      </c>
      <c r="N339" s="2" t="str">
        <f t="shared" si="85"/>
        <v>No</v>
      </c>
      <c r="O339" s="2" t="str">
        <f t="shared" si="86"/>
        <v>No</v>
      </c>
      <c r="P339" s="2" t="str" cm="1">
        <f t="array" aca="1" ref="P339" ca="1">IF(OR(INDIRECT("MRN_"&amp;A339)="N/A",B339=0),"No","Yes")</f>
        <v>No</v>
      </c>
    </row>
    <row r="340" spans="1:16" x14ac:dyDescent="0.2">
      <c r="A340" s="68">
        <v>9</v>
      </c>
      <c r="B340" s="349">
        <f>'Client 9'!S18</f>
        <v>0</v>
      </c>
      <c r="C340" s="2">
        <f>'Client 9'!T18</f>
        <v>0</v>
      </c>
      <c r="D340" s="2">
        <f>'Client 9'!U18</f>
        <v>0</v>
      </c>
      <c r="E340" s="2">
        <f>'Client 9'!V18</f>
        <v>0</v>
      </c>
      <c r="F340" s="350">
        <f>'Client 9'!W18</f>
        <v>0</v>
      </c>
      <c r="G340" s="2">
        <f>'Client 9'!X18</f>
        <v>0</v>
      </c>
      <c r="H340" s="2">
        <f>'Client 9'!Y18</f>
        <v>0</v>
      </c>
      <c r="I340" s="2">
        <f>'Client 9'!Z18</f>
        <v>0</v>
      </c>
      <c r="J340" s="2">
        <f>'Client 9'!AA18</f>
        <v>0</v>
      </c>
      <c r="K340" s="2">
        <f>'Client 9'!AB18</f>
        <v>0</v>
      </c>
      <c r="L340" s="2" cm="1">
        <f t="array" aca="1" ref="L340" ca="1">IF(B340=0,0,INDIRECT("MRN_"&amp;A340))</f>
        <v>0</v>
      </c>
      <c r="M340" s="2">
        <f t="shared" si="84"/>
        <v>0</v>
      </c>
      <c r="N340" s="2" t="str">
        <f t="shared" si="85"/>
        <v>No</v>
      </c>
      <c r="O340" s="2" t="str">
        <f t="shared" si="86"/>
        <v>No</v>
      </c>
      <c r="P340" s="2" t="str" cm="1">
        <f t="array" aca="1" ref="P340" ca="1">IF(OR(INDIRECT("MRN_"&amp;A340)="N/A",B340=0),"No","Yes")</f>
        <v>No</v>
      </c>
    </row>
    <row r="341" spans="1:16" x14ac:dyDescent="0.2">
      <c r="A341" s="68">
        <v>9</v>
      </c>
      <c r="B341" s="349">
        <f>'Client 9'!S19</f>
        <v>0</v>
      </c>
      <c r="C341" s="2">
        <f>'Client 9'!T19</f>
        <v>0</v>
      </c>
      <c r="D341" s="2">
        <f>'Client 9'!U19</f>
        <v>0</v>
      </c>
      <c r="E341" s="2">
        <f>'Client 9'!V19</f>
        <v>0</v>
      </c>
      <c r="F341" s="350">
        <f>'Client 9'!W19</f>
        <v>0</v>
      </c>
      <c r="G341" s="2">
        <f>'Client 9'!X19</f>
        <v>0</v>
      </c>
      <c r="H341" s="2">
        <f>'Client 9'!Y19</f>
        <v>0</v>
      </c>
      <c r="I341" s="2">
        <f>'Client 9'!Z19</f>
        <v>0</v>
      </c>
      <c r="J341" s="2">
        <f>'Client 9'!AA19</f>
        <v>0</v>
      </c>
      <c r="K341" s="2">
        <f>'Client 9'!AB19</f>
        <v>0</v>
      </c>
      <c r="L341" s="2" cm="1">
        <f t="array" aca="1" ref="L341" ca="1">IF(B341=0,0,INDIRECT("MRN_"&amp;A341))</f>
        <v>0</v>
      </c>
      <c r="M341" s="2">
        <f t="shared" si="84"/>
        <v>0</v>
      </c>
      <c r="N341" s="2" t="str">
        <f t="shared" si="85"/>
        <v>No</v>
      </c>
      <c r="O341" s="2" t="str">
        <f t="shared" si="86"/>
        <v>No</v>
      </c>
      <c r="P341" s="2" t="str" cm="1">
        <f t="array" aca="1" ref="P341" ca="1">IF(OR(INDIRECT("MRN_"&amp;A341)="N/A",B341=0),"No","Yes")</f>
        <v>No</v>
      </c>
    </row>
    <row r="342" spans="1:16" x14ac:dyDescent="0.2">
      <c r="A342" s="68">
        <v>9</v>
      </c>
      <c r="B342" s="349">
        <f>'Client 9'!S20</f>
        <v>0</v>
      </c>
      <c r="C342" s="2">
        <f>'Client 9'!T20</f>
        <v>0</v>
      </c>
      <c r="D342" s="2">
        <f>'Client 9'!U20</f>
        <v>0</v>
      </c>
      <c r="E342" s="2">
        <f>'Client 9'!V20</f>
        <v>0</v>
      </c>
      <c r="F342" s="350">
        <f>'Client 9'!W20</f>
        <v>0</v>
      </c>
      <c r="G342" s="2">
        <f>'Client 9'!X20</f>
        <v>0</v>
      </c>
      <c r="H342" s="2">
        <f>'Client 9'!Y20</f>
        <v>0</v>
      </c>
      <c r="I342" s="2">
        <f>'Client 9'!Z20</f>
        <v>0</v>
      </c>
      <c r="J342" s="2">
        <f>'Client 9'!AA20</f>
        <v>0</v>
      </c>
      <c r="K342" s="2">
        <f>'Client 9'!AB20</f>
        <v>0</v>
      </c>
      <c r="L342" s="2" cm="1">
        <f t="array" aca="1" ref="L342" ca="1">IF(B342=0,0,INDIRECT("MRN_"&amp;A342))</f>
        <v>0</v>
      </c>
      <c r="M342" s="2">
        <f t="shared" si="84"/>
        <v>0</v>
      </c>
      <c r="N342" s="2" t="str">
        <f t="shared" si="85"/>
        <v>No</v>
      </c>
      <c r="O342" s="2" t="str">
        <f t="shared" si="86"/>
        <v>No</v>
      </c>
      <c r="P342" s="2" t="str" cm="1">
        <f t="array" aca="1" ref="P342" ca="1">IF(OR(INDIRECT("MRN_"&amp;A342)="N/A",B342=0),"No","Yes")</f>
        <v>No</v>
      </c>
    </row>
    <row r="343" spans="1:16" x14ac:dyDescent="0.2">
      <c r="A343" s="68">
        <v>9</v>
      </c>
      <c r="B343" s="349">
        <f>'Client 9'!S21</f>
        <v>0</v>
      </c>
      <c r="C343" s="2">
        <f>'Client 9'!T21</f>
        <v>0</v>
      </c>
      <c r="D343" s="2">
        <f>'Client 9'!U21</f>
        <v>0</v>
      </c>
      <c r="E343" s="2">
        <f>'Client 9'!V21</f>
        <v>0</v>
      </c>
      <c r="F343" s="350">
        <f>'Client 9'!W21</f>
        <v>0</v>
      </c>
      <c r="G343" s="2">
        <f>'Client 9'!X21</f>
        <v>0</v>
      </c>
      <c r="H343" s="2">
        <f>'Client 9'!Y21</f>
        <v>0</v>
      </c>
      <c r="I343" s="2">
        <f>'Client 9'!Z21</f>
        <v>0</v>
      </c>
      <c r="J343" s="2">
        <f>'Client 9'!AA21</f>
        <v>0</v>
      </c>
      <c r="K343" s="2">
        <f>'Client 9'!AB21</f>
        <v>0</v>
      </c>
      <c r="L343" s="2" cm="1">
        <f t="array" aca="1" ref="L343" ca="1">IF(B343=0,0,INDIRECT("MRN_"&amp;A343))</f>
        <v>0</v>
      </c>
      <c r="M343" s="2">
        <f t="shared" si="84"/>
        <v>0</v>
      </c>
      <c r="N343" s="2" t="str">
        <f t="shared" si="85"/>
        <v>No</v>
      </c>
      <c r="O343" s="2" t="str">
        <f t="shared" si="86"/>
        <v>No</v>
      </c>
      <c r="P343" s="2" t="str" cm="1">
        <f t="array" aca="1" ref="P343" ca="1">IF(OR(INDIRECT("MRN_"&amp;A343)="N/A",B343=0),"No","Yes")</f>
        <v>No</v>
      </c>
    </row>
    <row r="344" spans="1:16" x14ac:dyDescent="0.2">
      <c r="A344" s="68">
        <v>9</v>
      </c>
      <c r="B344" s="349">
        <f>'Client 9'!S22</f>
        <v>0</v>
      </c>
      <c r="C344" s="2">
        <f>'Client 9'!T22</f>
        <v>0</v>
      </c>
      <c r="D344" s="2">
        <f>'Client 9'!U22</f>
        <v>0</v>
      </c>
      <c r="E344" s="2">
        <f>'Client 9'!V22</f>
        <v>0</v>
      </c>
      <c r="F344" s="350">
        <f>'Client 9'!W22</f>
        <v>0</v>
      </c>
      <c r="G344" s="2">
        <f>'Client 9'!X22</f>
        <v>0</v>
      </c>
      <c r="H344" s="2">
        <f>'Client 9'!Y22</f>
        <v>0</v>
      </c>
      <c r="I344" s="2">
        <f>'Client 9'!Z22</f>
        <v>0</v>
      </c>
      <c r="J344" s="2">
        <f>'Client 9'!AA22</f>
        <v>0</v>
      </c>
      <c r="K344" s="2">
        <f>'Client 9'!AB22</f>
        <v>0</v>
      </c>
      <c r="L344" s="2" cm="1">
        <f t="array" aca="1" ref="L344" ca="1">IF(B344=0,0,INDIRECT("MRN_"&amp;A344))</f>
        <v>0</v>
      </c>
      <c r="M344" s="2">
        <f t="shared" si="84"/>
        <v>0</v>
      </c>
      <c r="N344" s="2" t="str">
        <f t="shared" si="85"/>
        <v>No</v>
      </c>
      <c r="O344" s="2" t="str">
        <f t="shared" si="86"/>
        <v>No</v>
      </c>
      <c r="P344" s="2" t="str" cm="1">
        <f t="array" aca="1" ref="P344" ca="1">IF(OR(INDIRECT("MRN_"&amp;A344)="N/A",B344=0),"No","Yes")</f>
        <v>No</v>
      </c>
    </row>
    <row r="345" spans="1:16" x14ac:dyDescent="0.2">
      <c r="A345" s="68">
        <v>9</v>
      </c>
      <c r="B345" s="349">
        <f>'Client 9'!S23</f>
        <v>0</v>
      </c>
      <c r="C345" s="2">
        <f>'Client 9'!T23</f>
        <v>0</v>
      </c>
      <c r="D345" s="2">
        <f>'Client 9'!U23</f>
        <v>0</v>
      </c>
      <c r="E345" s="2">
        <f>'Client 9'!V23</f>
        <v>0</v>
      </c>
      <c r="F345" s="350">
        <f>'Client 9'!W23</f>
        <v>0</v>
      </c>
      <c r="G345" s="2">
        <f>'Client 9'!X23</f>
        <v>0</v>
      </c>
      <c r="H345" s="2">
        <f>'Client 9'!Y23</f>
        <v>0</v>
      </c>
      <c r="I345" s="2">
        <f>'Client 9'!Z23</f>
        <v>0</v>
      </c>
      <c r="J345" s="2">
        <f>'Client 9'!AA23</f>
        <v>0</v>
      </c>
      <c r="K345" s="2">
        <f>'Client 9'!AB23</f>
        <v>0</v>
      </c>
      <c r="L345" s="2" cm="1">
        <f t="array" aca="1" ref="L345" ca="1">IF(B345=0,0,INDIRECT("MRN_"&amp;A345))</f>
        <v>0</v>
      </c>
      <c r="M345" s="2">
        <f t="shared" si="84"/>
        <v>0</v>
      </c>
      <c r="N345" s="2" t="str">
        <f t="shared" si="85"/>
        <v>No</v>
      </c>
      <c r="O345" s="2" t="str">
        <f t="shared" si="86"/>
        <v>No</v>
      </c>
      <c r="P345" s="2" t="str" cm="1">
        <f t="array" aca="1" ref="P345" ca="1">IF(OR(INDIRECT("MRN_"&amp;A345)="N/A",B345=0),"No","Yes")</f>
        <v>No</v>
      </c>
    </row>
    <row r="346" spans="1:16" x14ac:dyDescent="0.2">
      <c r="A346" s="68">
        <v>9</v>
      </c>
      <c r="B346" s="349">
        <f>'Client 9'!S24</f>
        <v>0</v>
      </c>
      <c r="C346" s="2">
        <f>'Client 9'!T24</f>
        <v>0</v>
      </c>
      <c r="D346" s="2">
        <f>'Client 9'!U24</f>
        <v>0</v>
      </c>
      <c r="E346" s="2">
        <f>'Client 9'!V24</f>
        <v>0</v>
      </c>
      <c r="F346" s="350">
        <f>'Client 9'!W24</f>
        <v>0</v>
      </c>
      <c r="G346" s="2">
        <f>'Client 9'!X24</f>
        <v>0</v>
      </c>
      <c r="H346" s="2">
        <f>'Client 9'!Y24</f>
        <v>0</v>
      </c>
      <c r="I346" s="2">
        <f>'Client 9'!Z24</f>
        <v>0</v>
      </c>
      <c r="J346" s="2">
        <f>'Client 9'!AA24</f>
        <v>0</v>
      </c>
      <c r="K346" s="2">
        <f>'Client 9'!AB24</f>
        <v>0</v>
      </c>
      <c r="L346" s="2" cm="1">
        <f t="array" aca="1" ref="L346" ca="1">IF(B346=0,0,INDIRECT("MRN_"&amp;A346))</f>
        <v>0</v>
      </c>
      <c r="M346" s="2">
        <f t="shared" si="84"/>
        <v>0</v>
      </c>
      <c r="N346" s="2" t="str">
        <f t="shared" si="85"/>
        <v>No</v>
      </c>
      <c r="O346" s="2" t="str">
        <f t="shared" si="86"/>
        <v>No</v>
      </c>
      <c r="P346" s="2" t="str" cm="1">
        <f t="array" aca="1" ref="P346" ca="1">IF(OR(INDIRECT("MRN_"&amp;A346)="N/A",B346=0),"No","Yes")</f>
        <v>No</v>
      </c>
    </row>
    <row r="347" spans="1:16" x14ac:dyDescent="0.2">
      <c r="A347" s="68">
        <v>9</v>
      </c>
      <c r="B347" s="349">
        <f>'Client 9'!S25</f>
        <v>0</v>
      </c>
      <c r="C347" s="2">
        <f>'Client 9'!T25</f>
        <v>0</v>
      </c>
      <c r="D347" s="2">
        <f>'Client 9'!U25</f>
        <v>0</v>
      </c>
      <c r="E347" s="2">
        <f>'Client 9'!V25</f>
        <v>0</v>
      </c>
      <c r="F347" s="350">
        <f>'Client 9'!W25</f>
        <v>0</v>
      </c>
      <c r="G347" s="2">
        <f>'Client 9'!X25</f>
        <v>0</v>
      </c>
      <c r="H347" s="2">
        <f>'Client 9'!Y25</f>
        <v>0</v>
      </c>
      <c r="I347" s="2">
        <f>'Client 9'!Z25</f>
        <v>0</v>
      </c>
      <c r="J347" s="2">
        <f>'Client 9'!AA25</f>
        <v>0</v>
      </c>
      <c r="K347" s="2">
        <f>'Client 9'!AB25</f>
        <v>0</v>
      </c>
      <c r="L347" s="2" cm="1">
        <f t="array" aca="1" ref="L347" ca="1">IF(B347=0,0,INDIRECT("MRN_"&amp;A347))</f>
        <v>0</v>
      </c>
      <c r="M347" s="2">
        <f t="shared" si="84"/>
        <v>0</v>
      </c>
      <c r="N347" s="2" t="str">
        <f t="shared" si="85"/>
        <v>No</v>
      </c>
      <c r="O347" s="2" t="str">
        <f t="shared" si="86"/>
        <v>No</v>
      </c>
      <c r="P347" s="2" t="str" cm="1">
        <f t="array" aca="1" ref="P347" ca="1">IF(OR(INDIRECT("MRN_"&amp;A347)="N/A",B347=0),"No","Yes")</f>
        <v>No</v>
      </c>
    </row>
    <row r="348" spans="1:16" x14ac:dyDescent="0.2">
      <c r="A348" s="68">
        <v>9</v>
      </c>
      <c r="B348" s="349">
        <f>'Client 9'!S26</f>
        <v>0</v>
      </c>
      <c r="C348" s="2">
        <f>'Client 9'!T26</f>
        <v>0</v>
      </c>
      <c r="D348" s="2">
        <f>'Client 9'!U26</f>
        <v>0</v>
      </c>
      <c r="E348" s="2">
        <f>'Client 9'!V26</f>
        <v>0</v>
      </c>
      <c r="F348" s="350">
        <f>'Client 9'!W26</f>
        <v>0</v>
      </c>
      <c r="G348" s="2">
        <f>'Client 9'!X26</f>
        <v>0</v>
      </c>
      <c r="H348" s="2">
        <f>'Client 9'!Y26</f>
        <v>0</v>
      </c>
      <c r="I348" s="2">
        <f>'Client 9'!Z26</f>
        <v>0</v>
      </c>
      <c r="J348" s="2">
        <f>'Client 9'!AA26</f>
        <v>0</v>
      </c>
      <c r="K348" s="2">
        <f>'Client 9'!AB26</f>
        <v>0</v>
      </c>
      <c r="L348" s="2" cm="1">
        <f t="array" aca="1" ref="L348" ca="1">IF(B348=0,0,INDIRECT("MRN_"&amp;A348))</f>
        <v>0</v>
      </c>
      <c r="M348" s="2">
        <f t="shared" ref="M348:M411" si="87">IF(B348=0,0,"Client_"&amp;A348)</f>
        <v>0</v>
      </c>
      <c r="N348" s="2" t="str">
        <f t="shared" ref="N348:N411" si="88">IF(J348=0,"No","Yes")</f>
        <v>No</v>
      </c>
      <c r="O348" s="2" t="str">
        <f t="shared" ref="O348:O411" si="89">IF(I348=0,"No","Yes")</f>
        <v>No</v>
      </c>
      <c r="P348" s="2" t="str" cm="1">
        <f t="array" aca="1" ref="P348" ca="1">IF(OR(INDIRECT("MRN_"&amp;A348)="N/A",B348=0),"No","Yes")</f>
        <v>No</v>
      </c>
    </row>
    <row r="349" spans="1:16" x14ac:dyDescent="0.2">
      <c r="A349" s="68">
        <v>9</v>
      </c>
      <c r="B349" s="349">
        <f>'Client 9'!S27</f>
        <v>0</v>
      </c>
      <c r="C349" s="2">
        <f>'Client 9'!T27</f>
        <v>0</v>
      </c>
      <c r="D349" s="2">
        <f>'Client 9'!U27</f>
        <v>0</v>
      </c>
      <c r="E349" s="2">
        <f>'Client 9'!V27</f>
        <v>0</v>
      </c>
      <c r="F349" s="350">
        <f>'Client 9'!W27</f>
        <v>0</v>
      </c>
      <c r="G349" s="2">
        <f>'Client 9'!X27</f>
        <v>0</v>
      </c>
      <c r="H349" s="2">
        <f>'Client 9'!Y27</f>
        <v>0</v>
      </c>
      <c r="I349" s="2">
        <f>'Client 9'!Z27</f>
        <v>0</v>
      </c>
      <c r="J349" s="2">
        <f>'Client 9'!AA27</f>
        <v>0</v>
      </c>
      <c r="K349" s="2">
        <f>'Client 9'!AB27</f>
        <v>0</v>
      </c>
      <c r="L349" s="2" cm="1">
        <f t="array" aca="1" ref="L349" ca="1">IF(B349=0,0,INDIRECT("MRN_"&amp;A349))</f>
        <v>0</v>
      </c>
      <c r="M349" s="2">
        <f t="shared" si="87"/>
        <v>0</v>
      </c>
      <c r="N349" s="2" t="str">
        <f t="shared" si="88"/>
        <v>No</v>
      </c>
      <c r="O349" s="2" t="str">
        <f t="shared" si="89"/>
        <v>No</v>
      </c>
      <c r="P349" s="2" t="str" cm="1">
        <f t="array" aca="1" ref="P349" ca="1">IF(OR(INDIRECT("MRN_"&amp;A349)="N/A",B349=0),"No","Yes")</f>
        <v>No</v>
      </c>
    </row>
    <row r="350" spans="1:16" x14ac:dyDescent="0.2">
      <c r="A350" s="68">
        <v>9</v>
      </c>
      <c r="B350" s="349">
        <f>'Client 9'!S28</f>
        <v>0</v>
      </c>
      <c r="C350" s="2">
        <f>'Client 9'!T28</f>
        <v>0</v>
      </c>
      <c r="D350" s="2">
        <f>'Client 9'!U28</f>
        <v>0</v>
      </c>
      <c r="E350" s="2">
        <f>'Client 9'!V28</f>
        <v>0</v>
      </c>
      <c r="F350" s="350">
        <f>'Client 9'!W28</f>
        <v>0</v>
      </c>
      <c r="G350" s="2">
        <f>'Client 9'!X28</f>
        <v>0</v>
      </c>
      <c r="H350" s="2">
        <f>'Client 9'!Y28</f>
        <v>0</v>
      </c>
      <c r="I350" s="2">
        <f>'Client 9'!Z28</f>
        <v>0</v>
      </c>
      <c r="J350" s="2">
        <f>'Client 9'!AA28</f>
        <v>0</v>
      </c>
      <c r="K350" s="2">
        <f>'Client 9'!AB28</f>
        <v>0</v>
      </c>
      <c r="L350" s="2" cm="1">
        <f t="array" aca="1" ref="L350" ca="1">IF(B350=0,0,INDIRECT("MRN_"&amp;A350))</f>
        <v>0</v>
      </c>
      <c r="M350" s="2">
        <f t="shared" si="87"/>
        <v>0</v>
      </c>
      <c r="N350" s="2" t="str">
        <f t="shared" si="88"/>
        <v>No</v>
      </c>
      <c r="O350" s="2" t="str">
        <f t="shared" si="89"/>
        <v>No</v>
      </c>
      <c r="P350" s="2" t="str" cm="1">
        <f t="array" aca="1" ref="P350" ca="1">IF(OR(INDIRECT("MRN_"&amp;A350)="N/A",B350=0),"No","Yes")</f>
        <v>No</v>
      </c>
    </row>
    <row r="351" spans="1:16" x14ac:dyDescent="0.2">
      <c r="A351" s="68">
        <v>9</v>
      </c>
      <c r="B351" s="349">
        <f>'Client 9'!S29</f>
        <v>0</v>
      </c>
      <c r="C351" s="2">
        <f>'Client 9'!T29</f>
        <v>0</v>
      </c>
      <c r="D351" s="2">
        <f>'Client 9'!U29</f>
        <v>0</v>
      </c>
      <c r="E351" s="2">
        <f>'Client 9'!V29</f>
        <v>0</v>
      </c>
      <c r="F351" s="350">
        <f>'Client 9'!W29</f>
        <v>0</v>
      </c>
      <c r="G351" s="2">
        <f>'Client 9'!X29</f>
        <v>0</v>
      </c>
      <c r="H351" s="2">
        <f>'Client 9'!Y29</f>
        <v>0</v>
      </c>
      <c r="I351" s="2">
        <f>'Client 9'!Z29</f>
        <v>0</v>
      </c>
      <c r="J351" s="2">
        <f>'Client 9'!AA29</f>
        <v>0</v>
      </c>
      <c r="K351" s="2">
        <f>'Client 9'!AB29</f>
        <v>0</v>
      </c>
      <c r="L351" s="2" cm="1">
        <f t="array" aca="1" ref="L351" ca="1">IF(B351=0,0,INDIRECT("MRN_"&amp;A351))</f>
        <v>0</v>
      </c>
      <c r="M351" s="2">
        <f t="shared" si="87"/>
        <v>0</v>
      </c>
      <c r="N351" s="2" t="str">
        <f t="shared" si="88"/>
        <v>No</v>
      </c>
      <c r="O351" s="2" t="str">
        <f t="shared" si="89"/>
        <v>No</v>
      </c>
      <c r="P351" s="2" t="str" cm="1">
        <f t="array" aca="1" ref="P351" ca="1">IF(OR(INDIRECT("MRN_"&amp;A351)="N/A",B351=0),"No","Yes")</f>
        <v>No</v>
      </c>
    </row>
    <row r="352" spans="1:16" x14ac:dyDescent="0.2">
      <c r="A352" s="68">
        <v>9</v>
      </c>
      <c r="B352" s="349">
        <f>'Client 9'!S30</f>
        <v>0</v>
      </c>
      <c r="C352" s="2">
        <f>'Client 9'!T30</f>
        <v>0</v>
      </c>
      <c r="D352" s="2">
        <f>'Client 9'!U30</f>
        <v>0</v>
      </c>
      <c r="E352" s="2">
        <f>'Client 9'!V30</f>
        <v>0</v>
      </c>
      <c r="F352" s="350">
        <f>'Client 9'!W30</f>
        <v>0</v>
      </c>
      <c r="G352" s="2">
        <f>'Client 9'!X30</f>
        <v>0</v>
      </c>
      <c r="H352" s="2">
        <f>'Client 9'!Y30</f>
        <v>0</v>
      </c>
      <c r="I352" s="2">
        <f>'Client 9'!Z30</f>
        <v>0</v>
      </c>
      <c r="J352" s="2">
        <f>'Client 9'!AA30</f>
        <v>0</v>
      </c>
      <c r="K352" s="2">
        <f>'Client 9'!AB30</f>
        <v>0</v>
      </c>
      <c r="L352" s="2" cm="1">
        <f t="array" aca="1" ref="L352" ca="1">IF(B352=0,0,INDIRECT("MRN_"&amp;A352))</f>
        <v>0</v>
      </c>
      <c r="M352" s="2">
        <f t="shared" si="87"/>
        <v>0</v>
      </c>
      <c r="N352" s="2" t="str">
        <f t="shared" si="88"/>
        <v>No</v>
      </c>
      <c r="O352" s="2" t="str">
        <f t="shared" si="89"/>
        <v>No</v>
      </c>
      <c r="P352" s="2" t="str" cm="1">
        <f t="array" aca="1" ref="P352" ca="1">IF(OR(INDIRECT("MRN_"&amp;A352)="N/A",B352=0),"No","Yes")</f>
        <v>No</v>
      </c>
    </row>
    <row r="353" spans="1:16" x14ac:dyDescent="0.2">
      <c r="A353" s="68">
        <v>9</v>
      </c>
      <c r="B353" s="349">
        <f>'Client 9'!S31</f>
        <v>0</v>
      </c>
      <c r="C353" s="2">
        <f>'Client 9'!T31</f>
        <v>0</v>
      </c>
      <c r="D353" s="2">
        <f>'Client 9'!U31</f>
        <v>0</v>
      </c>
      <c r="E353" s="2">
        <f>'Client 9'!V31</f>
        <v>0</v>
      </c>
      <c r="F353" s="350">
        <f>'Client 9'!W31</f>
        <v>0</v>
      </c>
      <c r="G353" s="2">
        <f>'Client 9'!X31</f>
        <v>0</v>
      </c>
      <c r="H353" s="2">
        <f>'Client 9'!Y31</f>
        <v>0</v>
      </c>
      <c r="I353" s="2">
        <f>'Client 9'!Z31</f>
        <v>0</v>
      </c>
      <c r="J353" s="2">
        <f>'Client 9'!AA31</f>
        <v>0</v>
      </c>
      <c r="K353" s="2">
        <f>'Client 9'!AB31</f>
        <v>0</v>
      </c>
      <c r="L353" s="2" cm="1">
        <f t="array" aca="1" ref="L353" ca="1">IF(B353=0,0,INDIRECT("MRN_"&amp;A353))</f>
        <v>0</v>
      </c>
      <c r="M353" s="2">
        <f t="shared" si="87"/>
        <v>0</v>
      </c>
      <c r="N353" s="2" t="str">
        <f t="shared" si="88"/>
        <v>No</v>
      </c>
      <c r="O353" s="2" t="str">
        <f t="shared" si="89"/>
        <v>No</v>
      </c>
      <c r="P353" s="2" t="str" cm="1">
        <f t="array" aca="1" ref="P353" ca="1">IF(OR(INDIRECT("MRN_"&amp;A353)="N/A",B353=0),"No","Yes")</f>
        <v>No</v>
      </c>
    </row>
    <row r="354" spans="1:16" x14ac:dyDescent="0.2">
      <c r="A354" s="68">
        <v>9</v>
      </c>
      <c r="B354" s="349">
        <f>'Client 9'!S32</f>
        <v>0</v>
      </c>
      <c r="C354" s="2">
        <f>'Client 9'!T32</f>
        <v>0</v>
      </c>
      <c r="D354" s="2">
        <f>'Client 9'!U32</f>
        <v>0</v>
      </c>
      <c r="E354" s="2">
        <f>'Client 9'!V32</f>
        <v>0</v>
      </c>
      <c r="F354" s="350">
        <f>'Client 9'!W32</f>
        <v>0</v>
      </c>
      <c r="G354" s="2">
        <f>'Client 9'!X32</f>
        <v>0</v>
      </c>
      <c r="H354" s="2">
        <f>'Client 9'!Y32</f>
        <v>0</v>
      </c>
      <c r="I354" s="2">
        <f>'Client 9'!Z32</f>
        <v>0</v>
      </c>
      <c r="J354" s="2">
        <f>'Client 9'!AA32</f>
        <v>0</v>
      </c>
      <c r="K354" s="2">
        <f>'Client 9'!AB32</f>
        <v>0</v>
      </c>
      <c r="L354" s="2" cm="1">
        <f t="array" aca="1" ref="L354" ca="1">IF(B354=0,0,INDIRECT("MRN_"&amp;A354))</f>
        <v>0</v>
      </c>
      <c r="M354" s="2">
        <f t="shared" si="87"/>
        <v>0</v>
      </c>
      <c r="N354" s="2" t="str">
        <f t="shared" si="88"/>
        <v>No</v>
      </c>
      <c r="O354" s="2" t="str">
        <f t="shared" si="89"/>
        <v>No</v>
      </c>
      <c r="P354" s="2" t="str" cm="1">
        <f t="array" aca="1" ref="P354" ca="1">IF(OR(INDIRECT("MRN_"&amp;A354)="N/A",B354=0),"No","Yes")</f>
        <v>No</v>
      </c>
    </row>
    <row r="355" spans="1:16" x14ac:dyDescent="0.2">
      <c r="A355" s="68">
        <v>9</v>
      </c>
      <c r="B355" s="349">
        <f>'Client 9'!S33</f>
        <v>0</v>
      </c>
      <c r="C355" s="2">
        <f>'Client 9'!T33</f>
        <v>0</v>
      </c>
      <c r="D355" s="2">
        <f>'Client 9'!U33</f>
        <v>0</v>
      </c>
      <c r="E355" s="2">
        <f>'Client 9'!V33</f>
        <v>0</v>
      </c>
      <c r="F355" s="350">
        <f>'Client 9'!W33</f>
        <v>0</v>
      </c>
      <c r="G355" s="2">
        <f>'Client 9'!X33</f>
        <v>0</v>
      </c>
      <c r="H355" s="2">
        <f>'Client 9'!Y33</f>
        <v>0</v>
      </c>
      <c r="I355" s="2">
        <f>'Client 9'!Z33</f>
        <v>0</v>
      </c>
      <c r="J355" s="2">
        <f>'Client 9'!AA33</f>
        <v>0</v>
      </c>
      <c r="K355" s="2">
        <f>'Client 9'!AB33</f>
        <v>0</v>
      </c>
      <c r="L355" s="2" cm="1">
        <f t="array" aca="1" ref="L355" ca="1">IF(B355=0,0,INDIRECT("MRN_"&amp;A355))</f>
        <v>0</v>
      </c>
      <c r="M355" s="2">
        <f t="shared" si="87"/>
        <v>0</v>
      </c>
      <c r="N355" s="2" t="str">
        <f t="shared" si="88"/>
        <v>No</v>
      </c>
      <c r="O355" s="2" t="str">
        <f t="shared" si="89"/>
        <v>No</v>
      </c>
      <c r="P355" s="2" t="str" cm="1">
        <f t="array" aca="1" ref="P355" ca="1">IF(OR(INDIRECT("MRN_"&amp;A355)="N/A",B355=0),"No","Yes")</f>
        <v>No</v>
      </c>
    </row>
    <row r="356" spans="1:16" x14ac:dyDescent="0.2">
      <c r="A356" s="68">
        <v>9</v>
      </c>
      <c r="B356" s="349">
        <f>'Client 9'!S34</f>
        <v>0</v>
      </c>
      <c r="C356" s="2">
        <f>'Client 9'!T34</f>
        <v>0</v>
      </c>
      <c r="D356" s="2">
        <f>'Client 9'!U34</f>
        <v>0</v>
      </c>
      <c r="E356" s="2">
        <f>'Client 9'!V34</f>
        <v>0</v>
      </c>
      <c r="F356" s="350">
        <f>'Client 9'!W34</f>
        <v>0</v>
      </c>
      <c r="G356" s="2">
        <f>'Client 9'!X34</f>
        <v>0</v>
      </c>
      <c r="H356" s="2">
        <f>'Client 9'!Y34</f>
        <v>0</v>
      </c>
      <c r="I356" s="2">
        <f>'Client 9'!Z34</f>
        <v>0</v>
      </c>
      <c r="J356" s="2">
        <f>'Client 9'!AA34</f>
        <v>0</v>
      </c>
      <c r="K356" s="2">
        <f>'Client 9'!AB34</f>
        <v>0</v>
      </c>
      <c r="L356" s="2" cm="1">
        <f t="array" aca="1" ref="L356" ca="1">IF(B356=0,0,INDIRECT("MRN_"&amp;A356))</f>
        <v>0</v>
      </c>
      <c r="M356" s="2">
        <f t="shared" si="87"/>
        <v>0</v>
      </c>
      <c r="N356" s="2" t="str">
        <f t="shared" si="88"/>
        <v>No</v>
      </c>
      <c r="O356" s="2" t="str">
        <f t="shared" si="89"/>
        <v>No</v>
      </c>
      <c r="P356" s="2" t="str" cm="1">
        <f t="array" aca="1" ref="P356" ca="1">IF(OR(INDIRECT("MRN_"&amp;A356)="N/A",B356=0),"No","Yes")</f>
        <v>No</v>
      </c>
    </row>
    <row r="357" spans="1:16" x14ac:dyDescent="0.2">
      <c r="A357" s="68">
        <v>9</v>
      </c>
      <c r="B357" s="349">
        <f>'Client 9'!S35</f>
        <v>0</v>
      </c>
      <c r="C357" s="2">
        <f>'Client 9'!T35</f>
        <v>0</v>
      </c>
      <c r="D357" s="2">
        <f>'Client 9'!U35</f>
        <v>0</v>
      </c>
      <c r="E357" s="2">
        <f>'Client 9'!V35</f>
        <v>0</v>
      </c>
      <c r="F357" s="350">
        <f>'Client 9'!W35</f>
        <v>0</v>
      </c>
      <c r="G357" s="2">
        <f>'Client 9'!X35</f>
        <v>0</v>
      </c>
      <c r="H357" s="2">
        <f>'Client 9'!Y35</f>
        <v>0</v>
      </c>
      <c r="I357" s="2">
        <f>'Client 9'!Z35</f>
        <v>0</v>
      </c>
      <c r="J357" s="2">
        <f>'Client 9'!AA35</f>
        <v>0</v>
      </c>
      <c r="K357" s="2">
        <f>'Client 9'!AB35</f>
        <v>0</v>
      </c>
      <c r="L357" s="2" cm="1">
        <f t="array" aca="1" ref="L357" ca="1">IF(B357=0,0,INDIRECT("MRN_"&amp;A357))</f>
        <v>0</v>
      </c>
      <c r="M357" s="2">
        <f t="shared" si="87"/>
        <v>0</v>
      </c>
      <c r="N357" s="2" t="str">
        <f t="shared" si="88"/>
        <v>No</v>
      </c>
      <c r="O357" s="2" t="str">
        <f t="shared" si="89"/>
        <v>No</v>
      </c>
      <c r="P357" s="2" t="str" cm="1">
        <f t="array" aca="1" ref="P357" ca="1">IF(OR(INDIRECT("MRN_"&amp;A357)="N/A",B357=0),"No","Yes")</f>
        <v>No</v>
      </c>
    </row>
    <row r="358" spans="1:16" x14ac:dyDescent="0.2">
      <c r="A358" s="68">
        <v>9</v>
      </c>
      <c r="B358" s="349">
        <f>'Client 9'!S36</f>
        <v>0</v>
      </c>
      <c r="C358" s="2">
        <f>'Client 9'!T36</f>
        <v>0</v>
      </c>
      <c r="D358" s="2">
        <f>'Client 9'!U36</f>
        <v>0</v>
      </c>
      <c r="E358" s="2">
        <f>'Client 9'!V36</f>
        <v>0</v>
      </c>
      <c r="F358" s="350">
        <f>'Client 9'!W36</f>
        <v>0</v>
      </c>
      <c r="G358" s="2">
        <f>'Client 9'!X36</f>
        <v>0</v>
      </c>
      <c r="H358" s="2">
        <f>'Client 9'!Y36</f>
        <v>0</v>
      </c>
      <c r="I358" s="2">
        <f>'Client 9'!Z36</f>
        <v>0</v>
      </c>
      <c r="J358" s="2">
        <f>'Client 9'!AA36</f>
        <v>0</v>
      </c>
      <c r="K358" s="2">
        <f>'Client 9'!AB36</f>
        <v>0</v>
      </c>
      <c r="L358" s="2" cm="1">
        <f t="array" aca="1" ref="L358" ca="1">IF(B358=0,0,INDIRECT("MRN_"&amp;A358))</f>
        <v>0</v>
      </c>
      <c r="M358" s="2">
        <f t="shared" si="87"/>
        <v>0</v>
      </c>
      <c r="N358" s="2" t="str">
        <f t="shared" si="88"/>
        <v>No</v>
      </c>
      <c r="O358" s="2" t="str">
        <f t="shared" si="89"/>
        <v>No</v>
      </c>
      <c r="P358" s="2" t="str" cm="1">
        <f t="array" aca="1" ref="P358" ca="1">IF(OR(INDIRECT("MRN_"&amp;A358)="N/A",B358=0),"No","Yes")</f>
        <v>No</v>
      </c>
    </row>
    <row r="359" spans="1:16" x14ac:dyDescent="0.2">
      <c r="A359" s="68">
        <v>9</v>
      </c>
      <c r="B359" s="349">
        <f>'Client 9'!S37</f>
        <v>0</v>
      </c>
      <c r="C359" s="2">
        <f>'Client 9'!T37</f>
        <v>0</v>
      </c>
      <c r="D359" s="2">
        <f>'Client 9'!U37</f>
        <v>0</v>
      </c>
      <c r="E359" s="2">
        <f>'Client 9'!V37</f>
        <v>0</v>
      </c>
      <c r="F359" s="350">
        <f>'Client 9'!W37</f>
        <v>0</v>
      </c>
      <c r="G359" s="2">
        <f>'Client 9'!X37</f>
        <v>0</v>
      </c>
      <c r="H359" s="2">
        <f>'Client 9'!Y37</f>
        <v>0</v>
      </c>
      <c r="I359" s="2">
        <f>'Client 9'!Z37</f>
        <v>0</v>
      </c>
      <c r="J359" s="2">
        <f>'Client 9'!AA37</f>
        <v>0</v>
      </c>
      <c r="K359" s="2">
        <f>'Client 9'!AB37</f>
        <v>0</v>
      </c>
      <c r="L359" s="2" cm="1">
        <f t="array" aca="1" ref="L359" ca="1">IF(B359=0,0,INDIRECT("MRN_"&amp;A359))</f>
        <v>0</v>
      </c>
      <c r="M359" s="2">
        <f t="shared" si="87"/>
        <v>0</v>
      </c>
      <c r="N359" s="2" t="str">
        <f t="shared" si="88"/>
        <v>No</v>
      </c>
      <c r="O359" s="2" t="str">
        <f t="shared" si="89"/>
        <v>No</v>
      </c>
      <c r="P359" s="2" t="str" cm="1">
        <f t="array" aca="1" ref="P359" ca="1">IF(OR(INDIRECT("MRN_"&amp;A359)="N/A",B359=0),"No","Yes")</f>
        <v>No</v>
      </c>
    </row>
    <row r="360" spans="1:16" x14ac:dyDescent="0.2">
      <c r="A360" s="68">
        <v>9</v>
      </c>
      <c r="B360" s="349">
        <f>'Client 9'!S38</f>
        <v>0</v>
      </c>
      <c r="C360" s="2">
        <f>'Client 9'!T38</f>
        <v>0</v>
      </c>
      <c r="D360" s="2">
        <f>'Client 9'!U38</f>
        <v>0</v>
      </c>
      <c r="E360" s="2">
        <f>'Client 9'!V38</f>
        <v>0</v>
      </c>
      <c r="F360" s="350">
        <f>'Client 9'!W38</f>
        <v>0</v>
      </c>
      <c r="G360" s="2">
        <f>'Client 9'!X38</f>
        <v>0</v>
      </c>
      <c r="H360" s="2">
        <f>'Client 9'!Y38</f>
        <v>0</v>
      </c>
      <c r="I360" s="2">
        <f>'Client 9'!Z38</f>
        <v>0</v>
      </c>
      <c r="J360" s="2">
        <f>'Client 9'!AA38</f>
        <v>0</v>
      </c>
      <c r="K360" s="2">
        <f>'Client 9'!AB38</f>
        <v>0</v>
      </c>
      <c r="L360" s="2" cm="1">
        <f t="array" aca="1" ref="L360" ca="1">IF(B360=0,0,INDIRECT("MRN_"&amp;A360))</f>
        <v>0</v>
      </c>
      <c r="M360" s="2">
        <f t="shared" si="87"/>
        <v>0</v>
      </c>
      <c r="N360" s="2" t="str">
        <f t="shared" si="88"/>
        <v>No</v>
      </c>
      <c r="O360" s="2" t="str">
        <f t="shared" si="89"/>
        <v>No</v>
      </c>
      <c r="P360" s="2" t="str" cm="1">
        <f t="array" aca="1" ref="P360" ca="1">IF(OR(INDIRECT("MRN_"&amp;A360)="N/A",B360=0),"No","Yes")</f>
        <v>No</v>
      </c>
    </row>
    <row r="361" spans="1:16" x14ac:dyDescent="0.2">
      <c r="A361" s="68">
        <v>10</v>
      </c>
      <c r="B361" s="349">
        <f>'Client 10'!S9</f>
        <v>0</v>
      </c>
      <c r="C361" s="2">
        <f>'Client 10'!T9</f>
        <v>0</v>
      </c>
      <c r="D361" s="2">
        <f>'Client 10'!U9</f>
        <v>0</v>
      </c>
      <c r="E361" s="2">
        <f>'Client 10'!V9</f>
        <v>0</v>
      </c>
      <c r="F361" s="350">
        <f>'Client 10'!W9</f>
        <v>0</v>
      </c>
      <c r="G361" s="2">
        <f>'Client 10'!X9</f>
        <v>0</v>
      </c>
      <c r="H361" s="2">
        <f>'Client 10'!Y9</f>
        <v>0</v>
      </c>
      <c r="I361" s="2">
        <f>'Client 10'!Z9</f>
        <v>0</v>
      </c>
      <c r="J361" s="2">
        <f>'Client 10'!AA9</f>
        <v>0</v>
      </c>
      <c r="K361" s="2">
        <f>'Client 10'!AB9</f>
        <v>0</v>
      </c>
      <c r="L361" s="2" cm="1">
        <f t="array" aca="1" ref="L361" ca="1">IF(B361=0,0,INDIRECT("MRN_"&amp;A361))</f>
        <v>0</v>
      </c>
      <c r="M361" s="2">
        <f t="shared" si="87"/>
        <v>0</v>
      </c>
      <c r="N361" s="2" t="str">
        <f t="shared" si="88"/>
        <v>No</v>
      </c>
      <c r="O361" s="2" t="str">
        <f t="shared" si="89"/>
        <v>No</v>
      </c>
      <c r="P361" s="2" t="str" cm="1">
        <f t="array" aca="1" ref="P361" ca="1">IF(OR(INDIRECT("MRN_"&amp;A361)="N/A",B361=0),"No","Yes")</f>
        <v>No</v>
      </c>
    </row>
    <row r="362" spans="1:16" x14ac:dyDescent="0.2">
      <c r="A362" s="68">
        <v>10</v>
      </c>
      <c r="B362" s="349">
        <f>'Client 10'!S10</f>
        <v>0</v>
      </c>
      <c r="C362" s="2">
        <f>'Client 10'!T10</f>
        <v>0</v>
      </c>
      <c r="D362" s="2">
        <f>'Client 10'!U10</f>
        <v>0</v>
      </c>
      <c r="E362" s="2">
        <f>'Client 10'!V10</f>
        <v>0</v>
      </c>
      <c r="F362" s="350">
        <f>'Client 10'!W10</f>
        <v>0</v>
      </c>
      <c r="G362" s="2">
        <f>'Client 10'!X10</f>
        <v>0</v>
      </c>
      <c r="H362" s="2">
        <f>'Client 10'!Y10</f>
        <v>0</v>
      </c>
      <c r="I362" s="2">
        <f>'Client 10'!Z10</f>
        <v>0</v>
      </c>
      <c r="J362" s="2">
        <f>'Client 10'!AA10</f>
        <v>0</v>
      </c>
      <c r="K362" s="2">
        <f>'Client 10'!AB10</f>
        <v>0</v>
      </c>
      <c r="L362" s="2" cm="1">
        <f t="array" aca="1" ref="L362" ca="1">IF(B362=0,0,INDIRECT("MRN_"&amp;A362))</f>
        <v>0</v>
      </c>
      <c r="M362" s="2">
        <f t="shared" si="87"/>
        <v>0</v>
      </c>
      <c r="N362" s="2" t="str">
        <f t="shared" si="88"/>
        <v>No</v>
      </c>
      <c r="O362" s="2" t="str">
        <f t="shared" si="89"/>
        <v>No</v>
      </c>
      <c r="P362" s="2" t="str" cm="1">
        <f t="array" aca="1" ref="P362" ca="1">IF(OR(INDIRECT("MRN_"&amp;A362)="N/A",B362=0),"No","Yes")</f>
        <v>No</v>
      </c>
    </row>
    <row r="363" spans="1:16" x14ac:dyDescent="0.2">
      <c r="A363" s="68">
        <v>10</v>
      </c>
      <c r="B363" s="349">
        <f>'Client 10'!S11</f>
        <v>0</v>
      </c>
      <c r="C363" s="2">
        <f>'Client 10'!T11</f>
        <v>0</v>
      </c>
      <c r="D363" s="2">
        <f>'Client 10'!U11</f>
        <v>0</v>
      </c>
      <c r="E363" s="2">
        <f>'Client 10'!V11</f>
        <v>0</v>
      </c>
      <c r="F363" s="350">
        <f>'Client 10'!W11</f>
        <v>0</v>
      </c>
      <c r="G363" s="2">
        <f>'Client 10'!X11</f>
        <v>0</v>
      </c>
      <c r="H363" s="2">
        <f>'Client 10'!Y11</f>
        <v>0</v>
      </c>
      <c r="I363" s="2">
        <f>'Client 10'!Z11</f>
        <v>0</v>
      </c>
      <c r="J363" s="2">
        <f>'Client 10'!AA11</f>
        <v>0</v>
      </c>
      <c r="K363" s="2">
        <f>'Client 10'!AB11</f>
        <v>0</v>
      </c>
      <c r="L363" s="2" cm="1">
        <f t="array" aca="1" ref="L363" ca="1">IF(B363=0,0,INDIRECT("MRN_"&amp;A363))</f>
        <v>0</v>
      </c>
      <c r="M363" s="2">
        <f t="shared" si="87"/>
        <v>0</v>
      </c>
      <c r="N363" s="2" t="str">
        <f t="shared" si="88"/>
        <v>No</v>
      </c>
      <c r="O363" s="2" t="str">
        <f t="shared" si="89"/>
        <v>No</v>
      </c>
      <c r="P363" s="2" t="str" cm="1">
        <f t="array" aca="1" ref="P363" ca="1">IF(OR(INDIRECT("MRN_"&amp;A363)="N/A",B363=0),"No","Yes")</f>
        <v>No</v>
      </c>
    </row>
    <row r="364" spans="1:16" x14ac:dyDescent="0.2">
      <c r="A364" s="68">
        <v>10</v>
      </c>
      <c r="B364" s="349">
        <f>'Client 10'!S12</f>
        <v>0</v>
      </c>
      <c r="C364" s="2">
        <f>'Client 10'!T12</f>
        <v>0</v>
      </c>
      <c r="D364" s="2">
        <f>'Client 10'!U12</f>
        <v>0</v>
      </c>
      <c r="E364" s="2">
        <f>'Client 10'!V12</f>
        <v>0</v>
      </c>
      <c r="F364" s="350">
        <f>'Client 10'!W12</f>
        <v>0</v>
      </c>
      <c r="G364" s="2">
        <f>'Client 10'!X12</f>
        <v>0</v>
      </c>
      <c r="H364" s="2">
        <f>'Client 10'!Y12</f>
        <v>0</v>
      </c>
      <c r="I364" s="2">
        <f>'Client 10'!Z12</f>
        <v>0</v>
      </c>
      <c r="J364" s="2">
        <f>'Client 10'!AA12</f>
        <v>0</v>
      </c>
      <c r="K364" s="2">
        <f>'Client 10'!AB12</f>
        <v>0</v>
      </c>
      <c r="L364" s="2" cm="1">
        <f t="array" aca="1" ref="L364" ca="1">IF(B364=0,0,INDIRECT("MRN_"&amp;A364))</f>
        <v>0</v>
      </c>
      <c r="M364" s="2">
        <f t="shared" si="87"/>
        <v>0</v>
      </c>
      <c r="N364" s="2" t="str">
        <f t="shared" si="88"/>
        <v>No</v>
      </c>
      <c r="O364" s="2" t="str">
        <f t="shared" si="89"/>
        <v>No</v>
      </c>
      <c r="P364" s="2" t="str" cm="1">
        <f t="array" aca="1" ref="P364" ca="1">IF(OR(INDIRECT("MRN_"&amp;A364)="N/A",B364=0),"No","Yes")</f>
        <v>No</v>
      </c>
    </row>
    <row r="365" spans="1:16" x14ac:dyDescent="0.2">
      <c r="A365" s="68">
        <v>10</v>
      </c>
      <c r="B365" s="349">
        <f>'Client 10'!S13</f>
        <v>0</v>
      </c>
      <c r="C365" s="2">
        <f>'Client 10'!T13</f>
        <v>0</v>
      </c>
      <c r="D365" s="2">
        <f>'Client 10'!U13</f>
        <v>0</v>
      </c>
      <c r="E365" s="2">
        <f>'Client 10'!V13</f>
        <v>0</v>
      </c>
      <c r="F365" s="350">
        <f>'Client 10'!W13</f>
        <v>0</v>
      </c>
      <c r="G365" s="2">
        <f>'Client 10'!X13</f>
        <v>0</v>
      </c>
      <c r="H365" s="2">
        <f>'Client 10'!Y13</f>
        <v>0</v>
      </c>
      <c r="I365" s="2">
        <f>'Client 10'!Z13</f>
        <v>0</v>
      </c>
      <c r="J365" s="2">
        <f>'Client 10'!AA13</f>
        <v>0</v>
      </c>
      <c r="K365" s="2">
        <f>'Client 10'!AB13</f>
        <v>0</v>
      </c>
      <c r="L365" s="2" cm="1">
        <f t="array" aca="1" ref="L365" ca="1">IF(B365=0,0,INDIRECT("MRN_"&amp;A365))</f>
        <v>0</v>
      </c>
      <c r="M365" s="2">
        <f t="shared" si="87"/>
        <v>0</v>
      </c>
      <c r="N365" s="2" t="str">
        <f t="shared" si="88"/>
        <v>No</v>
      </c>
      <c r="O365" s="2" t="str">
        <f t="shared" si="89"/>
        <v>No</v>
      </c>
      <c r="P365" s="2" t="str" cm="1">
        <f t="array" aca="1" ref="P365" ca="1">IF(OR(INDIRECT("MRN_"&amp;A365)="N/A",B365=0),"No","Yes")</f>
        <v>No</v>
      </c>
    </row>
    <row r="366" spans="1:16" x14ac:dyDescent="0.2">
      <c r="A366" s="68">
        <v>10</v>
      </c>
      <c r="B366" s="349">
        <f>'Client 10'!S14</f>
        <v>0</v>
      </c>
      <c r="C366" s="2">
        <f>'Client 10'!T14</f>
        <v>0</v>
      </c>
      <c r="D366" s="2">
        <f>'Client 10'!U14</f>
        <v>0</v>
      </c>
      <c r="E366" s="2">
        <f>'Client 10'!V14</f>
        <v>0</v>
      </c>
      <c r="F366" s="350">
        <f>'Client 10'!W14</f>
        <v>0</v>
      </c>
      <c r="G366" s="2">
        <f>'Client 10'!X14</f>
        <v>0</v>
      </c>
      <c r="H366" s="2">
        <f>'Client 10'!Y14</f>
        <v>0</v>
      </c>
      <c r="I366" s="2">
        <f>'Client 10'!Z14</f>
        <v>0</v>
      </c>
      <c r="J366" s="2">
        <f>'Client 10'!AA14</f>
        <v>0</v>
      </c>
      <c r="K366" s="2">
        <f>'Client 10'!AB14</f>
        <v>0</v>
      </c>
      <c r="L366" s="2" cm="1">
        <f t="array" aca="1" ref="L366" ca="1">IF(B366=0,0,INDIRECT("MRN_"&amp;A366))</f>
        <v>0</v>
      </c>
      <c r="M366" s="2">
        <f t="shared" si="87"/>
        <v>0</v>
      </c>
      <c r="N366" s="2" t="str">
        <f t="shared" si="88"/>
        <v>No</v>
      </c>
      <c r="O366" s="2" t="str">
        <f t="shared" si="89"/>
        <v>No</v>
      </c>
      <c r="P366" s="2" t="str" cm="1">
        <f t="array" aca="1" ref="P366" ca="1">IF(OR(INDIRECT("MRN_"&amp;A366)="N/A",B366=0),"No","Yes")</f>
        <v>No</v>
      </c>
    </row>
    <row r="367" spans="1:16" x14ac:dyDescent="0.2">
      <c r="A367" s="68">
        <v>10</v>
      </c>
      <c r="B367" s="349">
        <f>'Client 10'!S15</f>
        <v>0</v>
      </c>
      <c r="C367" s="2">
        <f>'Client 10'!T15</f>
        <v>0</v>
      </c>
      <c r="D367" s="2">
        <f>'Client 10'!U15</f>
        <v>0</v>
      </c>
      <c r="E367" s="2">
        <f>'Client 10'!V15</f>
        <v>0</v>
      </c>
      <c r="F367" s="350">
        <f>'Client 10'!W15</f>
        <v>0</v>
      </c>
      <c r="G367" s="2">
        <f>'Client 10'!X15</f>
        <v>0</v>
      </c>
      <c r="H367" s="2">
        <f>'Client 10'!Y15</f>
        <v>0</v>
      </c>
      <c r="I367" s="2">
        <f>'Client 10'!Z15</f>
        <v>0</v>
      </c>
      <c r="J367" s="2">
        <f>'Client 10'!AA15</f>
        <v>0</v>
      </c>
      <c r="K367" s="2">
        <f>'Client 10'!AB15</f>
        <v>0</v>
      </c>
      <c r="L367" s="2" cm="1">
        <f t="array" aca="1" ref="L367" ca="1">IF(B367=0,0,INDIRECT("MRN_"&amp;A367))</f>
        <v>0</v>
      </c>
      <c r="M367" s="2">
        <f t="shared" si="87"/>
        <v>0</v>
      </c>
      <c r="N367" s="2" t="str">
        <f t="shared" si="88"/>
        <v>No</v>
      </c>
      <c r="O367" s="2" t="str">
        <f t="shared" si="89"/>
        <v>No</v>
      </c>
      <c r="P367" s="2" t="str" cm="1">
        <f t="array" aca="1" ref="P367" ca="1">IF(OR(INDIRECT("MRN_"&amp;A367)="N/A",B367=0),"No","Yes")</f>
        <v>No</v>
      </c>
    </row>
    <row r="368" spans="1:16" x14ac:dyDescent="0.2">
      <c r="A368" s="68">
        <v>10</v>
      </c>
      <c r="B368" s="349">
        <f>'Client 10'!S16</f>
        <v>0</v>
      </c>
      <c r="C368" s="2">
        <f>'Client 10'!T16</f>
        <v>0</v>
      </c>
      <c r="D368" s="2">
        <f>'Client 10'!U16</f>
        <v>0</v>
      </c>
      <c r="E368" s="2">
        <f>'Client 10'!V16</f>
        <v>0</v>
      </c>
      <c r="F368" s="350">
        <f>'Client 10'!W16</f>
        <v>0</v>
      </c>
      <c r="G368" s="2">
        <f>'Client 10'!X16</f>
        <v>0</v>
      </c>
      <c r="H368" s="2">
        <f>'Client 10'!Y16</f>
        <v>0</v>
      </c>
      <c r="I368" s="2">
        <f>'Client 10'!Z16</f>
        <v>0</v>
      </c>
      <c r="J368" s="2">
        <f>'Client 10'!AA16</f>
        <v>0</v>
      </c>
      <c r="K368" s="2">
        <f>'Client 10'!AB16</f>
        <v>0</v>
      </c>
      <c r="L368" s="2" cm="1">
        <f t="array" aca="1" ref="L368" ca="1">IF(B368=0,0,INDIRECT("MRN_"&amp;A368))</f>
        <v>0</v>
      </c>
      <c r="M368" s="2">
        <f t="shared" si="87"/>
        <v>0</v>
      </c>
      <c r="N368" s="2" t="str">
        <f t="shared" si="88"/>
        <v>No</v>
      </c>
      <c r="O368" s="2" t="str">
        <f t="shared" si="89"/>
        <v>No</v>
      </c>
      <c r="P368" s="2" t="str" cm="1">
        <f t="array" aca="1" ref="P368" ca="1">IF(OR(INDIRECT("MRN_"&amp;A368)="N/A",B368=0),"No","Yes")</f>
        <v>No</v>
      </c>
    </row>
    <row r="369" spans="1:16" x14ac:dyDescent="0.2">
      <c r="A369" s="68">
        <v>10</v>
      </c>
      <c r="B369" s="349">
        <f>'Client 10'!S17</f>
        <v>0</v>
      </c>
      <c r="C369" s="2">
        <f>'Client 10'!T17</f>
        <v>0</v>
      </c>
      <c r="D369" s="2">
        <f>'Client 10'!U17</f>
        <v>0</v>
      </c>
      <c r="E369" s="2">
        <f>'Client 10'!V17</f>
        <v>0</v>
      </c>
      <c r="F369" s="350">
        <f>'Client 10'!W17</f>
        <v>0</v>
      </c>
      <c r="G369" s="2">
        <f>'Client 10'!X17</f>
        <v>0</v>
      </c>
      <c r="H369" s="2">
        <f>'Client 10'!Y17</f>
        <v>0</v>
      </c>
      <c r="I369" s="2">
        <f>'Client 10'!Z17</f>
        <v>0</v>
      </c>
      <c r="J369" s="2">
        <f>'Client 10'!AA17</f>
        <v>0</v>
      </c>
      <c r="K369" s="2">
        <f>'Client 10'!AB17</f>
        <v>0</v>
      </c>
      <c r="L369" s="2" cm="1">
        <f t="array" aca="1" ref="L369" ca="1">IF(B369=0,0,INDIRECT("MRN_"&amp;A369))</f>
        <v>0</v>
      </c>
      <c r="M369" s="2">
        <f t="shared" si="87"/>
        <v>0</v>
      </c>
      <c r="N369" s="2" t="str">
        <f t="shared" si="88"/>
        <v>No</v>
      </c>
      <c r="O369" s="2" t="str">
        <f t="shared" si="89"/>
        <v>No</v>
      </c>
      <c r="P369" s="2" t="str" cm="1">
        <f t="array" aca="1" ref="P369" ca="1">IF(OR(INDIRECT("MRN_"&amp;A369)="N/A",B369=0),"No","Yes")</f>
        <v>No</v>
      </c>
    </row>
    <row r="370" spans="1:16" x14ac:dyDescent="0.2">
      <c r="A370" s="68">
        <v>10</v>
      </c>
      <c r="B370" s="349">
        <f>'Client 10'!S18</f>
        <v>0</v>
      </c>
      <c r="C370" s="2">
        <f>'Client 10'!T18</f>
        <v>0</v>
      </c>
      <c r="D370" s="2">
        <f>'Client 10'!U18</f>
        <v>0</v>
      </c>
      <c r="E370" s="2">
        <f>'Client 10'!V18</f>
        <v>0</v>
      </c>
      <c r="F370" s="350">
        <f>'Client 10'!W18</f>
        <v>0</v>
      </c>
      <c r="G370" s="2">
        <f>'Client 10'!X18</f>
        <v>0</v>
      </c>
      <c r="H370" s="2">
        <f>'Client 10'!Y18</f>
        <v>0</v>
      </c>
      <c r="I370" s="2">
        <f>'Client 10'!Z18</f>
        <v>0</v>
      </c>
      <c r="J370" s="2">
        <f>'Client 10'!AA18</f>
        <v>0</v>
      </c>
      <c r="K370" s="2">
        <f>'Client 10'!AB18</f>
        <v>0</v>
      </c>
      <c r="L370" s="2" cm="1">
        <f t="array" aca="1" ref="L370" ca="1">IF(B370=0,0,INDIRECT("MRN_"&amp;A370))</f>
        <v>0</v>
      </c>
      <c r="M370" s="2">
        <f t="shared" si="87"/>
        <v>0</v>
      </c>
      <c r="N370" s="2" t="str">
        <f t="shared" si="88"/>
        <v>No</v>
      </c>
      <c r="O370" s="2" t="str">
        <f t="shared" si="89"/>
        <v>No</v>
      </c>
      <c r="P370" s="2" t="str" cm="1">
        <f t="array" aca="1" ref="P370" ca="1">IF(OR(INDIRECT("MRN_"&amp;A370)="N/A",B370=0),"No","Yes")</f>
        <v>No</v>
      </c>
    </row>
    <row r="371" spans="1:16" x14ac:dyDescent="0.2">
      <c r="A371" s="68">
        <v>10</v>
      </c>
      <c r="B371" s="349">
        <f>'Client 10'!S19</f>
        <v>0</v>
      </c>
      <c r="C371" s="2">
        <f>'Client 10'!T19</f>
        <v>0</v>
      </c>
      <c r="D371" s="2">
        <f>'Client 10'!U19</f>
        <v>0</v>
      </c>
      <c r="E371" s="2">
        <f>'Client 10'!V19</f>
        <v>0</v>
      </c>
      <c r="F371" s="350">
        <f>'Client 10'!W19</f>
        <v>0</v>
      </c>
      <c r="G371" s="2">
        <f>'Client 10'!X19</f>
        <v>0</v>
      </c>
      <c r="H371" s="2">
        <f>'Client 10'!Y19</f>
        <v>0</v>
      </c>
      <c r="I371" s="2">
        <f>'Client 10'!Z19</f>
        <v>0</v>
      </c>
      <c r="J371" s="2">
        <f>'Client 10'!AA19</f>
        <v>0</v>
      </c>
      <c r="K371" s="2">
        <f>'Client 10'!AB19</f>
        <v>0</v>
      </c>
      <c r="L371" s="2" cm="1">
        <f t="array" aca="1" ref="L371" ca="1">IF(B371=0,0,INDIRECT("MRN_"&amp;A371))</f>
        <v>0</v>
      </c>
      <c r="M371" s="2">
        <f t="shared" si="87"/>
        <v>0</v>
      </c>
      <c r="N371" s="2" t="str">
        <f t="shared" si="88"/>
        <v>No</v>
      </c>
      <c r="O371" s="2" t="str">
        <f t="shared" si="89"/>
        <v>No</v>
      </c>
      <c r="P371" s="2" t="str" cm="1">
        <f t="array" aca="1" ref="P371" ca="1">IF(OR(INDIRECT("MRN_"&amp;A371)="N/A",B371=0),"No","Yes")</f>
        <v>No</v>
      </c>
    </row>
    <row r="372" spans="1:16" x14ac:dyDescent="0.2">
      <c r="A372" s="68">
        <v>10</v>
      </c>
      <c r="B372" s="349">
        <f>'Client 10'!S20</f>
        <v>0</v>
      </c>
      <c r="C372" s="2">
        <f>'Client 10'!T20</f>
        <v>0</v>
      </c>
      <c r="D372" s="2">
        <f>'Client 10'!U20</f>
        <v>0</v>
      </c>
      <c r="E372" s="2">
        <f>'Client 10'!V20</f>
        <v>0</v>
      </c>
      <c r="F372" s="350">
        <f>'Client 10'!W20</f>
        <v>0</v>
      </c>
      <c r="G372" s="2">
        <f>'Client 10'!X20</f>
        <v>0</v>
      </c>
      <c r="H372" s="2">
        <f>'Client 10'!Y20</f>
        <v>0</v>
      </c>
      <c r="I372" s="2">
        <f>'Client 10'!Z20</f>
        <v>0</v>
      </c>
      <c r="J372" s="2">
        <f>'Client 10'!AA20</f>
        <v>0</v>
      </c>
      <c r="K372" s="2">
        <f>'Client 10'!AB20</f>
        <v>0</v>
      </c>
      <c r="L372" s="2" cm="1">
        <f t="array" aca="1" ref="L372" ca="1">IF(B372=0,0,INDIRECT("MRN_"&amp;A372))</f>
        <v>0</v>
      </c>
      <c r="M372" s="2">
        <f t="shared" si="87"/>
        <v>0</v>
      </c>
      <c r="N372" s="2" t="str">
        <f t="shared" si="88"/>
        <v>No</v>
      </c>
      <c r="O372" s="2" t="str">
        <f t="shared" si="89"/>
        <v>No</v>
      </c>
      <c r="P372" s="2" t="str" cm="1">
        <f t="array" aca="1" ref="P372" ca="1">IF(OR(INDIRECT("MRN_"&amp;A372)="N/A",B372=0),"No","Yes")</f>
        <v>No</v>
      </c>
    </row>
    <row r="373" spans="1:16" x14ac:dyDescent="0.2">
      <c r="A373" s="68">
        <v>10</v>
      </c>
      <c r="B373" s="349">
        <f>'Client 10'!S21</f>
        <v>0</v>
      </c>
      <c r="C373" s="2">
        <f>'Client 10'!T21</f>
        <v>0</v>
      </c>
      <c r="D373" s="2">
        <f>'Client 10'!U21</f>
        <v>0</v>
      </c>
      <c r="E373" s="2">
        <f>'Client 10'!V21</f>
        <v>0</v>
      </c>
      <c r="F373" s="350">
        <f>'Client 10'!W21</f>
        <v>0</v>
      </c>
      <c r="G373" s="2">
        <f>'Client 10'!X21</f>
        <v>0</v>
      </c>
      <c r="H373" s="2">
        <f>'Client 10'!Y21</f>
        <v>0</v>
      </c>
      <c r="I373" s="2">
        <f>'Client 10'!Z21</f>
        <v>0</v>
      </c>
      <c r="J373" s="2">
        <f>'Client 10'!AA21</f>
        <v>0</v>
      </c>
      <c r="K373" s="2">
        <f>'Client 10'!AB21</f>
        <v>0</v>
      </c>
      <c r="L373" s="2" cm="1">
        <f t="array" aca="1" ref="L373" ca="1">IF(B373=0,0,INDIRECT("MRN_"&amp;A373))</f>
        <v>0</v>
      </c>
      <c r="M373" s="2">
        <f t="shared" si="87"/>
        <v>0</v>
      </c>
      <c r="N373" s="2" t="str">
        <f t="shared" si="88"/>
        <v>No</v>
      </c>
      <c r="O373" s="2" t="str">
        <f t="shared" si="89"/>
        <v>No</v>
      </c>
      <c r="P373" s="2" t="str" cm="1">
        <f t="array" aca="1" ref="P373" ca="1">IF(OR(INDIRECT("MRN_"&amp;A373)="N/A",B373=0),"No","Yes")</f>
        <v>No</v>
      </c>
    </row>
    <row r="374" spans="1:16" x14ac:dyDescent="0.2">
      <c r="A374" s="68">
        <v>10</v>
      </c>
      <c r="B374" s="349">
        <f>'Client 10'!S22</f>
        <v>0</v>
      </c>
      <c r="C374" s="2">
        <f>'Client 10'!T22</f>
        <v>0</v>
      </c>
      <c r="D374" s="2">
        <f>'Client 10'!U22</f>
        <v>0</v>
      </c>
      <c r="E374" s="2">
        <f>'Client 10'!V22</f>
        <v>0</v>
      </c>
      <c r="F374" s="350">
        <f>'Client 10'!W22</f>
        <v>0</v>
      </c>
      <c r="G374" s="2">
        <f>'Client 10'!X22</f>
        <v>0</v>
      </c>
      <c r="H374" s="2">
        <f>'Client 10'!Y22</f>
        <v>0</v>
      </c>
      <c r="I374" s="2">
        <f>'Client 10'!Z22</f>
        <v>0</v>
      </c>
      <c r="J374" s="2">
        <f>'Client 10'!AA22</f>
        <v>0</v>
      </c>
      <c r="K374" s="2">
        <f>'Client 10'!AB22</f>
        <v>0</v>
      </c>
      <c r="L374" s="2" cm="1">
        <f t="array" aca="1" ref="L374" ca="1">IF(B374=0,0,INDIRECT("MRN_"&amp;A374))</f>
        <v>0</v>
      </c>
      <c r="M374" s="2">
        <f t="shared" si="87"/>
        <v>0</v>
      </c>
      <c r="N374" s="2" t="str">
        <f t="shared" si="88"/>
        <v>No</v>
      </c>
      <c r="O374" s="2" t="str">
        <f t="shared" si="89"/>
        <v>No</v>
      </c>
      <c r="P374" s="2" t="str" cm="1">
        <f t="array" aca="1" ref="P374" ca="1">IF(OR(INDIRECT("MRN_"&amp;A374)="N/A",B374=0),"No","Yes")</f>
        <v>No</v>
      </c>
    </row>
    <row r="375" spans="1:16" x14ac:dyDescent="0.2">
      <c r="A375" s="68">
        <v>10</v>
      </c>
      <c r="B375" s="349">
        <f>'Client 10'!S23</f>
        <v>0</v>
      </c>
      <c r="C375" s="2">
        <f>'Client 10'!T23</f>
        <v>0</v>
      </c>
      <c r="D375" s="2">
        <f>'Client 10'!U23</f>
        <v>0</v>
      </c>
      <c r="E375" s="2">
        <f>'Client 10'!V23</f>
        <v>0</v>
      </c>
      <c r="F375" s="350">
        <f>'Client 10'!W23</f>
        <v>0</v>
      </c>
      <c r="G375" s="2">
        <f>'Client 10'!X23</f>
        <v>0</v>
      </c>
      <c r="H375" s="2">
        <f>'Client 10'!Y23</f>
        <v>0</v>
      </c>
      <c r="I375" s="2">
        <f>'Client 10'!Z23</f>
        <v>0</v>
      </c>
      <c r="J375" s="2">
        <f>'Client 10'!AA23</f>
        <v>0</v>
      </c>
      <c r="K375" s="2">
        <f>'Client 10'!AB23</f>
        <v>0</v>
      </c>
      <c r="L375" s="2" cm="1">
        <f t="array" aca="1" ref="L375" ca="1">IF(B375=0,0,INDIRECT("MRN_"&amp;A375))</f>
        <v>0</v>
      </c>
      <c r="M375" s="2">
        <f t="shared" si="87"/>
        <v>0</v>
      </c>
      <c r="N375" s="2" t="str">
        <f t="shared" si="88"/>
        <v>No</v>
      </c>
      <c r="O375" s="2" t="str">
        <f t="shared" si="89"/>
        <v>No</v>
      </c>
      <c r="P375" s="2" t="str" cm="1">
        <f t="array" aca="1" ref="P375" ca="1">IF(OR(INDIRECT("MRN_"&amp;A375)="N/A",B375=0),"No","Yes")</f>
        <v>No</v>
      </c>
    </row>
    <row r="376" spans="1:16" x14ac:dyDescent="0.2">
      <c r="A376" s="68">
        <v>10</v>
      </c>
      <c r="B376" s="349">
        <f>'Client 10'!S24</f>
        <v>0</v>
      </c>
      <c r="C376" s="2">
        <f>'Client 10'!T24</f>
        <v>0</v>
      </c>
      <c r="D376" s="2">
        <f>'Client 10'!U24</f>
        <v>0</v>
      </c>
      <c r="E376" s="2">
        <f>'Client 10'!V24</f>
        <v>0</v>
      </c>
      <c r="F376" s="350">
        <f>'Client 10'!W24</f>
        <v>0</v>
      </c>
      <c r="G376" s="2">
        <f>'Client 10'!X24</f>
        <v>0</v>
      </c>
      <c r="H376" s="2">
        <f>'Client 10'!Y24</f>
        <v>0</v>
      </c>
      <c r="I376" s="2">
        <f>'Client 10'!Z24</f>
        <v>0</v>
      </c>
      <c r="J376" s="2">
        <f>'Client 10'!AA24</f>
        <v>0</v>
      </c>
      <c r="K376" s="2">
        <f>'Client 10'!AB24</f>
        <v>0</v>
      </c>
      <c r="L376" s="2" cm="1">
        <f t="array" aca="1" ref="L376" ca="1">IF(B376=0,0,INDIRECT("MRN_"&amp;A376))</f>
        <v>0</v>
      </c>
      <c r="M376" s="2">
        <f t="shared" si="87"/>
        <v>0</v>
      </c>
      <c r="N376" s="2" t="str">
        <f t="shared" si="88"/>
        <v>No</v>
      </c>
      <c r="O376" s="2" t="str">
        <f t="shared" si="89"/>
        <v>No</v>
      </c>
      <c r="P376" s="2" t="str" cm="1">
        <f t="array" aca="1" ref="P376" ca="1">IF(OR(INDIRECT("MRN_"&amp;A376)="N/A",B376=0),"No","Yes")</f>
        <v>No</v>
      </c>
    </row>
    <row r="377" spans="1:16" x14ac:dyDescent="0.2">
      <c r="A377" s="68">
        <v>10</v>
      </c>
      <c r="B377" s="349">
        <f>'Client 10'!S25</f>
        <v>0</v>
      </c>
      <c r="C377" s="2">
        <f>'Client 10'!T25</f>
        <v>0</v>
      </c>
      <c r="D377" s="2">
        <f>'Client 10'!U25</f>
        <v>0</v>
      </c>
      <c r="E377" s="2">
        <f>'Client 10'!V25</f>
        <v>0</v>
      </c>
      <c r="F377" s="350">
        <f>'Client 10'!W25</f>
        <v>0</v>
      </c>
      <c r="G377" s="2">
        <f>'Client 10'!X25</f>
        <v>0</v>
      </c>
      <c r="H377" s="2">
        <f>'Client 10'!Y25</f>
        <v>0</v>
      </c>
      <c r="I377" s="2">
        <f>'Client 10'!Z25</f>
        <v>0</v>
      </c>
      <c r="J377" s="2">
        <f>'Client 10'!AA25</f>
        <v>0</v>
      </c>
      <c r="K377" s="2">
        <f>'Client 10'!AB25</f>
        <v>0</v>
      </c>
      <c r="L377" s="2" cm="1">
        <f t="array" aca="1" ref="L377" ca="1">IF(B377=0,0,INDIRECT("MRN_"&amp;A377))</f>
        <v>0</v>
      </c>
      <c r="M377" s="2">
        <f t="shared" si="87"/>
        <v>0</v>
      </c>
      <c r="N377" s="2" t="str">
        <f t="shared" si="88"/>
        <v>No</v>
      </c>
      <c r="O377" s="2" t="str">
        <f t="shared" si="89"/>
        <v>No</v>
      </c>
      <c r="P377" s="2" t="str" cm="1">
        <f t="array" aca="1" ref="P377" ca="1">IF(OR(INDIRECT("MRN_"&amp;A377)="N/A",B377=0),"No","Yes")</f>
        <v>No</v>
      </c>
    </row>
    <row r="378" spans="1:16" x14ac:dyDescent="0.2">
      <c r="A378" s="68">
        <v>10</v>
      </c>
      <c r="B378" s="349">
        <f>'Client 10'!S26</f>
        <v>0</v>
      </c>
      <c r="C378" s="2">
        <f>'Client 10'!T26</f>
        <v>0</v>
      </c>
      <c r="D378" s="2">
        <f>'Client 10'!U26</f>
        <v>0</v>
      </c>
      <c r="E378" s="2">
        <f>'Client 10'!V26</f>
        <v>0</v>
      </c>
      <c r="F378" s="350">
        <f>'Client 10'!W26</f>
        <v>0</v>
      </c>
      <c r="G378" s="2">
        <f>'Client 10'!X26</f>
        <v>0</v>
      </c>
      <c r="H378" s="2">
        <f>'Client 10'!Y26</f>
        <v>0</v>
      </c>
      <c r="I378" s="2">
        <f>'Client 10'!Z26</f>
        <v>0</v>
      </c>
      <c r="J378" s="2">
        <f>'Client 10'!AA26</f>
        <v>0</v>
      </c>
      <c r="K378" s="2">
        <f>'Client 10'!AB26</f>
        <v>0</v>
      </c>
      <c r="L378" s="2" cm="1">
        <f t="array" aca="1" ref="L378" ca="1">IF(B378=0,0,INDIRECT("MRN_"&amp;A378))</f>
        <v>0</v>
      </c>
      <c r="M378" s="2">
        <f t="shared" si="87"/>
        <v>0</v>
      </c>
      <c r="N378" s="2" t="str">
        <f t="shared" si="88"/>
        <v>No</v>
      </c>
      <c r="O378" s="2" t="str">
        <f t="shared" si="89"/>
        <v>No</v>
      </c>
      <c r="P378" s="2" t="str" cm="1">
        <f t="array" aca="1" ref="P378" ca="1">IF(OR(INDIRECT("MRN_"&amp;A378)="N/A",B378=0),"No","Yes")</f>
        <v>No</v>
      </c>
    </row>
    <row r="379" spans="1:16" x14ac:dyDescent="0.2">
      <c r="A379" s="68">
        <v>10</v>
      </c>
      <c r="B379" s="349">
        <f>'Client 10'!S27</f>
        <v>0</v>
      </c>
      <c r="C379" s="2">
        <f>'Client 10'!T27</f>
        <v>0</v>
      </c>
      <c r="D379" s="2">
        <f>'Client 10'!U27</f>
        <v>0</v>
      </c>
      <c r="E379" s="2">
        <f>'Client 10'!V27</f>
        <v>0</v>
      </c>
      <c r="F379" s="350">
        <f>'Client 10'!W27</f>
        <v>0</v>
      </c>
      <c r="G379" s="2">
        <f>'Client 10'!X27</f>
        <v>0</v>
      </c>
      <c r="H379" s="2">
        <f>'Client 10'!Y27</f>
        <v>0</v>
      </c>
      <c r="I379" s="2">
        <f>'Client 10'!Z27</f>
        <v>0</v>
      </c>
      <c r="J379" s="2">
        <f>'Client 10'!AA27</f>
        <v>0</v>
      </c>
      <c r="K379" s="2">
        <f>'Client 10'!AB27</f>
        <v>0</v>
      </c>
      <c r="L379" s="2" cm="1">
        <f t="array" aca="1" ref="L379" ca="1">IF(B379=0,0,INDIRECT("MRN_"&amp;A379))</f>
        <v>0</v>
      </c>
      <c r="M379" s="2">
        <f t="shared" si="87"/>
        <v>0</v>
      </c>
      <c r="N379" s="2" t="str">
        <f t="shared" si="88"/>
        <v>No</v>
      </c>
      <c r="O379" s="2" t="str">
        <f t="shared" si="89"/>
        <v>No</v>
      </c>
      <c r="P379" s="2" t="str" cm="1">
        <f t="array" aca="1" ref="P379" ca="1">IF(OR(INDIRECT("MRN_"&amp;A379)="N/A",B379=0),"No","Yes")</f>
        <v>No</v>
      </c>
    </row>
    <row r="380" spans="1:16" x14ac:dyDescent="0.2">
      <c r="A380" s="68">
        <v>10</v>
      </c>
      <c r="B380" s="349">
        <f>'Client 10'!S28</f>
        <v>0</v>
      </c>
      <c r="C380" s="2">
        <f>'Client 10'!T28</f>
        <v>0</v>
      </c>
      <c r="D380" s="2">
        <f>'Client 10'!U28</f>
        <v>0</v>
      </c>
      <c r="E380" s="2">
        <f>'Client 10'!V28</f>
        <v>0</v>
      </c>
      <c r="F380" s="350">
        <f>'Client 10'!W28</f>
        <v>0</v>
      </c>
      <c r="G380" s="2">
        <f>'Client 10'!X28</f>
        <v>0</v>
      </c>
      <c r="H380" s="2">
        <f>'Client 10'!Y28</f>
        <v>0</v>
      </c>
      <c r="I380" s="2">
        <f>'Client 10'!Z28</f>
        <v>0</v>
      </c>
      <c r="J380" s="2">
        <f>'Client 10'!AA28</f>
        <v>0</v>
      </c>
      <c r="K380" s="2">
        <f>'Client 10'!AB28</f>
        <v>0</v>
      </c>
      <c r="L380" s="2" cm="1">
        <f t="array" aca="1" ref="L380" ca="1">IF(B380=0,0,INDIRECT("MRN_"&amp;A380))</f>
        <v>0</v>
      </c>
      <c r="M380" s="2">
        <f t="shared" si="87"/>
        <v>0</v>
      </c>
      <c r="N380" s="2" t="str">
        <f t="shared" si="88"/>
        <v>No</v>
      </c>
      <c r="O380" s="2" t="str">
        <f t="shared" si="89"/>
        <v>No</v>
      </c>
      <c r="P380" s="2" t="str" cm="1">
        <f t="array" aca="1" ref="P380" ca="1">IF(OR(INDIRECT("MRN_"&amp;A380)="N/A",B380=0),"No","Yes")</f>
        <v>No</v>
      </c>
    </row>
    <row r="381" spans="1:16" x14ac:dyDescent="0.2">
      <c r="A381" s="68">
        <v>10</v>
      </c>
      <c r="B381" s="349">
        <f>'Client 10'!S29</f>
        <v>0</v>
      </c>
      <c r="C381" s="2">
        <f>'Client 10'!T29</f>
        <v>0</v>
      </c>
      <c r="D381" s="2">
        <f>'Client 10'!U29</f>
        <v>0</v>
      </c>
      <c r="E381" s="2">
        <f>'Client 10'!V29</f>
        <v>0</v>
      </c>
      <c r="F381" s="350">
        <f>'Client 10'!W29</f>
        <v>0</v>
      </c>
      <c r="G381" s="2">
        <f>'Client 10'!X29</f>
        <v>0</v>
      </c>
      <c r="H381" s="2">
        <f>'Client 10'!Y29</f>
        <v>0</v>
      </c>
      <c r="I381" s="2">
        <f>'Client 10'!Z29</f>
        <v>0</v>
      </c>
      <c r="J381" s="2">
        <f>'Client 10'!AA29</f>
        <v>0</v>
      </c>
      <c r="K381" s="2">
        <f>'Client 10'!AB29</f>
        <v>0</v>
      </c>
      <c r="L381" s="2" cm="1">
        <f t="array" aca="1" ref="L381" ca="1">IF(B381=0,0,INDIRECT("MRN_"&amp;A381))</f>
        <v>0</v>
      </c>
      <c r="M381" s="2">
        <f t="shared" si="87"/>
        <v>0</v>
      </c>
      <c r="N381" s="2" t="str">
        <f t="shared" si="88"/>
        <v>No</v>
      </c>
      <c r="O381" s="2" t="str">
        <f t="shared" si="89"/>
        <v>No</v>
      </c>
      <c r="P381" s="2" t="str" cm="1">
        <f t="array" aca="1" ref="P381" ca="1">IF(OR(INDIRECT("MRN_"&amp;A381)="N/A",B381=0),"No","Yes")</f>
        <v>No</v>
      </c>
    </row>
    <row r="382" spans="1:16" x14ac:dyDescent="0.2">
      <c r="A382" s="68">
        <v>10</v>
      </c>
      <c r="B382" s="349">
        <f>'Client 10'!S30</f>
        <v>0</v>
      </c>
      <c r="C382" s="2">
        <f>'Client 10'!T30</f>
        <v>0</v>
      </c>
      <c r="D382" s="2">
        <f>'Client 10'!U30</f>
        <v>0</v>
      </c>
      <c r="E382" s="2">
        <f>'Client 10'!V30</f>
        <v>0</v>
      </c>
      <c r="F382" s="350">
        <f>'Client 10'!W30</f>
        <v>0</v>
      </c>
      <c r="G382" s="2">
        <f>'Client 10'!X30</f>
        <v>0</v>
      </c>
      <c r="H382" s="2">
        <f>'Client 10'!Y30</f>
        <v>0</v>
      </c>
      <c r="I382" s="2">
        <f>'Client 10'!Z30</f>
        <v>0</v>
      </c>
      <c r="J382" s="2">
        <f>'Client 10'!AA30</f>
        <v>0</v>
      </c>
      <c r="K382" s="2">
        <f>'Client 10'!AB30</f>
        <v>0</v>
      </c>
      <c r="L382" s="2" cm="1">
        <f t="array" aca="1" ref="L382" ca="1">IF(B382=0,0,INDIRECT("MRN_"&amp;A382))</f>
        <v>0</v>
      </c>
      <c r="M382" s="2">
        <f t="shared" si="87"/>
        <v>0</v>
      </c>
      <c r="N382" s="2" t="str">
        <f t="shared" si="88"/>
        <v>No</v>
      </c>
      <c r="O382" s="2" t="str">
        <f t="shared" si="89"/>
        <v>No</v>
      </c>
      <c r="P382" s="2" t="str" cm="1">
        <f t="array" aca="1" ref="P382" ca="1">IF(OR(INDIRECT("MRN_"&amp;A382)="N/A",B382=0),"No","Yes")</f>
        <v>No</v>
      </c>
    </row>
    <row r="383" spans="1:16" x14ac:dyDescent="0.2">
      <c r="A383" s="68">
        <v>10</v>
      </c>
      <c r="B383" s="349">
        <f>'Client 10'!S31</f>
        <v>0</v>
      </c>
      <c r="C383" s="2">
        <f>'Client 10'!T31</f>
        <v>0</v>
      </c>
      <c r="D383" s="2">
        <f>'Client 10'!U31</f>
        <v>0</v>
      </c>
      <c r="E383" s="2">
        <f>'Client 10'!V31</f>
        <v>0</v>
      </c>
      <c r="F383" s="350">
        <f>'Client 10'!W31</f>
        <v>0</v>
      </c>
      <c r="G383" s="2">
        <f>'Client 10'!X31</f>
        <v>0</v>
      </c>
      <c r="H383" s="2">
        <f>'Client 10'!Y31</f>
        <v>0</v>
      </c>
      <c r="I383" s="2">
        <f>'Client 10'!Z31</f>
        <v>0</v>
      </c>
      <c r="J383" s="2">
        <f>'Client 10'!AA31</f>
        <v>0</v>
      </c>
      <c r="K383" s="2">
        <f>'Client 10'!AB31</f>
        <v>0</v>
      </c>
      <c r="L383" s="2" cm="1">
        <f t="array" aca="1" ref="L383" ca="1">IF(B383=0,0,INDIRECT("MRN_"&amp;A383))</f>
        <v>0</v>
      </c>
      <c r="M383" s="2">
        <f t="shared" si="87"/>
        <v>0</v>
      </c>
      <c r="N383" s="2" t="str">
        <f t="shared" si="88"/>
        <v>No</v>
      </c>
      <c r="O383" s="2" t="str">
        <f t="shared" si="89"/>
        <v>No</v>
      </c>
      <c r="P383" s="2" t="str" cm="1">
        <f t="array" aca="1" ref="P383" ca="1">IF(OR(INDIRECT("MRN_"&amp;A383)="N/A",B383=0),"No","Yes")</f>
        <v>No</v>
      </c>
    </row>
    <row r="384" spans="1:16" x14ac:dyDescent="0.2">
      <c r="A384" s="68">
        <v>10</v>
      </c>
      <c r="B384" s="349">
        <f>'Client 10'!S32</f>
        <v>0</v>
      </c>
      <c r="C384" s="2">
        <f>'Client 10'!T32</f>
        <v>0</v>
      </c>
      <c r="D384" s="2">
        <f>'Client 10'!U32</f>
        <v>0</v>
      </c>
      <c r="E384" s="2">
        <f>'Client 10'!V32</f>
        <v>0</v>
      </c>
      <c r="F384" s="350">
        <f>'Client 10'!W32</f>
        <v>0</v>
      </c>
      <c r="G384" s="2">
        <f>'Client 10'!X32</f>
        <v>0</v>
      </c>
      <c r="H384" s="2">
        <f>'Client 10'!Y32</f>
        <v>0</v>
      </c>
      <c r="I384" s="2">
        <f>'Client 10'!Z32</f>
        <v>0</v>
      </c>
      <c r="J384" s="2">
        <f>'Client 10'!AA32</f>
        <v>0</v>
      </c>
      <c r="K384" s="2">
        <f>'Client 10'!AB32</f>
        <v>0</v>
      </c>
      <c r="L384" s="2" cm="1">
        <f t="array" aca="1" ref="L384" ca="1">IF(B384=0,0,INDIRECT("MRN_"&amp;A384))</f>
        <v>0</v>
      </c>
      <c r="M384" s="2">
        <f t="shared" si="87"/>
        <v>0</v>
      </c>
      <c r="N384" s="2" t="str">
        <f t="shared" si="88"/>
        <v>No</v>
      </c>
      <c r="O384" s="2" t="str">
        <f t="shared" si="89"/>
        <v>No</v>
      </c>
      <c r="P384" s="2" t="str" cm="1">
        <f t="array" aca="1" ref="P384" ca="1">IF(OR(INDIRECT("MRN_"&amp;A384)="N/A",B384=0),"No","Yes")</f>
        <v>No</v>
      </c>
    </row>
    <row r="385" spans="1:16" x14ac:dyDescent="0.2">
      <c r="A385" s="68">
        <v>10</v>
      </c>
      <c r="B385" s="349">
        <f>'Client 10'!S33</f>
        <v>0</v>
      </c>
      <c r="C385" s="2">
        <f>'Client 10'!T33</f>
        <v>0</v>
      </c>
      <c r="D385" s="2">
        <f>'Client 10'!U33</f>
        <v>0</v>
      </c>
      <c r="E385" s="2">
        <f>'Client 10'!V33</f>
        <v>0</v>
      </c>
      <c r="F385" s="350">
        <f>'Client 10'!W33</f>
        <v>0</v>
      </c>
      <c r="G385" s="2">
        <f>'Client 10'!X33</f>
        <v>0</v>
      </c>
      <c r="H385" s="2">
        <f>'Client 10'!Y33</f>
        <v>0</v>
      </c>
      <c r="I385" s="2">
        <f>'Client 10'!Z33</f>
        <v>0</v>
      </c>
      <c r="J385" s="2">
        <f>'Client 10'!AA33</f>
        <v>0</v>
      </c>
      <c r="K385" s="2">
        <f>'Client 10'!AB33</f>
        <v>0</v>
      </c>
      <c r="L385" s="2" cm="1">
        <f t="array" aca="1" ref="L385" ca="1">IF(B385=0,0,INDIRECT("MRN_"&amp;A385))</f>
        <v>0</v>
      </c>
      <c r="M385" s="2">
        <f t="shared" si="87"/>
        <v>0</v>
      </c>
      <c r="N385" s="2" t="str">
        <f t="shared" si="88"/>
        <v>No</v>
      </c>
      <c r="O385" s="2" t="str">
        <f t="shared" si="89"/>
        <v>No</v>
      </c>
      <c r="P385" s="2" t="str" cm="1">
        <f t="array" aca="1" ref="P385" ca="1">IF(OR(INDIRECT("MRN_"&amp;A385)="N/A",B385=0),"No","Yes")</f>
        <v>No</v>
      </c>
    </row>
    <row r="386" spans="1:16" x14ac:dyDescent="0.2">
      <c r="A386" s="68">
        <v>10</v>
      </c>
      <c r="B386" s="349">
        <f>'Client 10'!S34</f>
        <v>0</v>
      </c>
      <c r="C386" s="2">
        <f>'Client 10'!T34</f>
        <v>0</v>
      </c>
      <c r="D386" s="2">
        <f>'Client 10'!U34</f>
        <v>0</v>
      </c>
      <c r="E386" s="2">
        <f>'Client 10'!V34</f>
        <v>0</v>
      </c>
      <c r="F386" s="350">
        <f>'Client 10'!W34</f>
        <v>0</v>
      </c>
      <c r="G386" s="2">
        <f>'Client 10'!X34</f>
        <v>0</v>
      </c>
      <c r="H386" s="2">
        <f>'Client 10'!Y34</f>
        <v>0</v>
      </c>
      <c r="I386" s="2">
        <f>'Client 10'!Z34</f>
        <v>0</v>
      </c>
      <c r="J386" s="2">
        <f>'Client 10'!AA34</f>
        <v>0</v>
      </c>
      <c r="K386" s="2">
        <f>'Client 10'!AB34</f>
        <v>0</v>
      </c>
      <c r="L386" s="2" cm="1">
        <f t="array" aca="1" ref="L386" ca="1">IF(B386=0,0,INDIRECT("MRN_"&amp;A386))</f>
        <v>0</v>
      </c>
      <c r="M386" s="2">
        <f t="shared" si="87"/>
        <v>0</v>
      </c>
      <c r="N386" s="2" t="str">
        <f t="shared" si="88"/>
        <v>No</v>
      </c>
      <c r="O386" s="2" t="str">
        <f t="shared" si="89"/>
        <v>No</v>
      </c>
      <c r="P386" s="2" t="str" cm="1">
        <f t="array" aca="1" ref="P386" ca="1">IF(OR(INDIRECT("MRN_"&amp;A386)="N/A",B386=0),"No","Yes")</f>
        <v>No</v>
      </c>
    </row>
    <row r="387" spans="1:16" x14ac:dyDescent="0.2">
      <c r="A387" s="68">
        <v>10</v>
      </c>
      <c r="B387" s="349">
        <f>'Client 10'!S35</f>
        <v>0</v>
      </c>
      <c r="C387" s="2">
        <f>'Client 10'!T35</f>
        <v>0</v>
      </c>
      <c r="D387" s="2">
        <f>'Client 10'!U35</f>
        <v>0</v>
      </c>
      <c r="E387" s="2">
        <f>'Client 10'!V35</f>
        <v>0</v>
      </c>
      <c r="F387" s="350">
        <f>'Client 10'!W35</f>
        <v>0</v>
      </c>
      <c r="G387" s="2">
        <f>'Client 10'!X35</f>
        <v>0</v>
      </c>
      <c r="H387" s="2">
        <f>'Client 10'!Y35</f>
        <v>0</v>
      </c>
      <c r="I387" s="2">
        <f>'Client 10'!Z35</f>
        <v>0</v>
      </c>
      <c r="J387" s="2">
        <f>'Client 10'!AA35</f>
        <v>0</v>
      </c>
      <c r="K387" s="2">
        <f>'Client 10'!AB35</f>
        <v>0</v>
      </c>
      <c r="L387" s="2" cm="1">
        <f t="array" aca="1" ref="L387" ca="1">IF(B387=0,0,INDIRECT("MRN_"&amp;A387))</f>
        <v>0</v>
      </c>
      <c r="M387" s="2">
        <f t="shared" si="87"/>
        <v>0</v>
      </c>
      <c r="N387" s="2" t="str">
        <f t="shared" si="88"/>
        <v>No</v>
      </c>
      <c r="O387" s="2" t="str">
        <f t="shared" si="89"/>
        <v>No</v>
      </c>
      <c r="P387" s="2" t="str" cm="1">
        <f t="array" aca="1" ref="P387" ca="1">IF(OR(INDIRECT("MRN_"&amp;A387)="N/A",B387=0),"No","Yes")</f>
        <v>No</v>
      </c>
    </row>
    <row r="388" spans="1:16" x14ac:dyDescent="0.2">
      <c r="A388" s="68">
        <v>10</v>
      </c>
      <c r="B388" s="349">
        <f>'Client 10'!S36</f>
        <v>0</v>
      </c>
      <c r="C388" s="2">
        <f>'Client 10'!T36</f>
        <v>0</v>
      </c>
      <c r="D388" s="2">
        <f>'Client 10'!U36</f>
        <v>0</v>
      </c>
      <c r="E388" s="2">
        <f>'Client 10'!V36</f>
        <v>0</v>
      </c>
      <c r="F388" s="350">
        <f>'Client 10'!W36</f>
        <v>0</v>
      </c>
      <c r="G388" s="2">
        <f>'Client 10'!X36</f>
        <v>0</v>
      </c>
      <c r="H388" s="2">
        <f>'Client 10'!Y36</f>
        <v>0</v>
      </c>
      <c r="I388" s="2">
        <f>'Client 10'!Z36</f>
        <v>0</v>
      </c>
      <c r="J388" s="2">
        <f>'Client 10'!AA36</f>
        <v>0</v>
      </c>
      <c r="K388" s="2">
        <f>'Client 10'!AB36</f>
        <v>0</v>
      </c>
      <c r="L388" s="2" cm="1">
        <f t="array" aca="1" ref="L388" ca="1">IF(B388=0,0,INDIRECT("MRN_"&amp;A388))</f>
        <v>0</v>
      </c>
      <c r="M388" s="2">
        <f t="shared" si="87"/>
        <v>0</v>
      </c>
      <c r="N388" s="2" t="str">
        <f t="shared" si="88"/>
        <v>No</v>
      </c>
      <c r="O388" s="2" t="str">
        <f t="shared" si="89"/>
        <v>No</v>
      </c>
      <c r="P388" s="2" t="str" cm="1">
        <f t="array" aca="1" ref="P388" ca="1">IF(OR(INDIRECT("MRN_"&amp;A388)="N/A",B388=0),"No","Yes")</f>
        <v>No</v>
      </c>
    </row>
    <row r="389" spans="1:16" x14ac:dyDescent="0.2">
      <c r="A389" s="68">
        <v>10</v>
      </c>
      <c r="B389" s="349">
        <f>'Client 10'!S37</f>
        <v>0</v>
      </c>
      <c r="C389" s="2">
        <f>'Client 10'!T37</f>
        <v>0</v>
      </c>
      <c r="D389" s="2">
        <f>'Client 10'!U37</f>
        <v>0</v>
      </c>
      <c r="E389" s="2">
        <f>'Client 10'!V37</f>
        <v>0</v>
      </c>
      <c r="F389" s="350">
        <f>'Client 10'!W37</f>
        <v>0</v>
      </c>
      <c r="G389" s="2">
        <f>'Client 10'!X37</f>
        <v>0</v>
      </c>
      <c r="H389" s="2">
        <f>'Client 10'!Y37</f>
        <v>0</v>
      </c>
      <c r="I389" s="2">
        <f>'Client 10'!Z37</f>
        <v>0</v>
      </c>
      <c r="J389" s="2">
        <f>'Client 10'!AA37</f>
        <v>0</v>
      </c>
      <c r="K389" s="2">
        <f>'Client 10'!AB37</f>
        <v>0</v>
      </c>
      <c r="L389" s="2" cm="1">
        <f t="array" aca="1" ref="L389" ca="1">IF(B389=0,0,INDIRECT("MRN_"&amp;A389))</f>
        <v>0</v>
      </c>
      <c r="M389" s="2">
        <f t="shared" si="87"/>
        <v>0</v>
      </c>
      <c r="N389" s="2" t="str">
        <f t="shared" si="88"/>
        <v>No</v>
      </c>
      <c r="O389" s="2" t="str">
        <f t="shared" si="89"/>
        <v>No</v>
      </c>
      <c r="P389" s="2" t="str" cm="1">
        <f t="array" aca="1" ref="P389" ca="1">IF(OR(INDIRECT("MRN_"&amp;A389)="N/A",B389=0),"No","Yes")</f>
        <v>No</v>
      </c>
    </row>
    <row r="390" spans="1:16" x14ac:dyDescent="0.2">
      <c r="A390" s="68">
        <v>10</v>
      </c>
      <c r="B390" s="349">
        <f>'Client 10'!S38</f>
        <v>0</v>
      </c>
      <c r="C390" s="2">
        <f>'Client 10'!T38</f>
        <v>0</v>
      </c>
      <c r="D390" s="2">
        <f>'Client 10'!U38</f>
        <v>0</v>
      </c>
      <c r="E390" s="2">
        <f>'Client 10'!V38</f>
        <v>0</v>
      </c>
      <c r="F390" s="350">
        <f>'Client 10'!W38</f>
        <v>0</v>
      </c>
      <c r="G390" s="2">
        <f>'Client 10'!X38</f>
        <v>0</v>
      </c>
      <c r="H390" s="2">
        <f>'Client 10'!Y38</f>
        <v>0</v>
      </c>
      <c r="I390" s="2">
        <f>'Client 10'!Z38</f>
        <v>0</v>
      </c>
      <c r="J390" s="2">
        <f>'Client 10'!AA38</f>
        <v>0</v>
      </c>
      <c r="K390" s="2">
        <f>'Client 10'!AB38</f>
        <v>0</v>
      </c>
      <c r="L390" s="2" cm="1">
        <f t="array" aca="1" ref="L390" ca="1">IF(B390=0,0,INDIRECT("MRN_"&amp;A390))</f>
        <v>0</v>
      </c>
      <c r="M390" s="2">
        <f t="shared" si="87"/>
        <v>0</v>
      </c>
      <c r="N390" s="2" t="str">
        <f t="shared" si="88"/>
        <v>No</v>
      </c>
      <c r="O390" s="2" t="str">
        <f t="shared" si="89"/>
        <v>No</v>
      </c>
      <c r="P390" s="2" t="str" cm="1">
        <f t="array" aca="1" ref="P390" ca="1">IF(OR(INDIRECT("MRN_"&amp;A390)="N/A",B390=0),"No","Yes")</f>
        <v>No</v>
      </c>
    </row>
    <row r="391" spans="1:16" x14ac:dyDescent="0.2">
      <c r="A391" s="68">
        <v>11</v>
      </c>
      <c r="B391" s="349">
        <f>'Client 11'!S9</f>
        <v>0</v>
      </c>
      <c r="C391" s="2">
        <f>'Client 11'!T9</f>
        <v>0</v>
      </c>
      <c r="D391" s="2">
        <f>'Client 11'!U9</f>
        <v>0</v>
      </c>
      <c r="E391" s="2">
        <f>'Client 11'!V9</f>
        <v>0</v>
      </c>
      <c r="F391" s="350">
        <f>'Client 11'!W9</f>
        <v>0</v>
      </c>
      <c r="G391" s="2">
        <f>'Client 11'!X9</f>
        <v>0</v>
      </c>
      <c r="H391" s="2">
        <f>'Client 11'!Y9</f>
        <v>0</v>
      </c>
      <c r="I391" s="2">
        <f>'Client 11'!Z9</f>
        <v>0</v>
      </c>
      <c r="J391" s="2">
        <f>'Client 11'!AA9</f>
        <v>0</v>
      </c>
      <c r="K391" s="2">
        <f>'Client 11'!AB9</f>
        <v>0</v>
      </c>
      <c r="L391" s="2" cm="1">
        <f t="array" aca="1" ref="L391" ca="1">IF(B391=0,0,INDIRECT("MRN_"&amp;A391))</f>
        <v>0</v>
      </c>
      <c r="M391" s="2">
        <f t="shared" si="87"/>
        <v>0</v>
      </c>
      <c r="N391" s="2" t="str">
        <f t="shared" si="88"/>
        <v>No</v>
      </c>
      <c r="O391" s="2" t="str">
        <f t="shared" si="89"/>
        <v>No</v>
      </c>
      <c r="P391" s="2" t="str" cm="1">
        <f t="array" aca="1" ref="P391" ca="1">IF(OR(INDIRECT("MRN_"&amp;A391)="N/A",B391=0),"No","Yes")</f>
        <v>No</v>
      </c>
    </row>
    <row r="392" spans="1:16" x14ac:dyDescent="0.2">
      <c r="A392" s="68">
        <v>11</v>
      </c>
      <c r="B392" s="349">
        <f>'Client 11'!S10</f>
        <v>0</v>
      </c>
      <c r="C392" s="2">
        <f>'Client 11'!T10</f>
        <v>0</v>
      </c>
      <c r="D392" s="2">
        <f>'Client 11'!U10</f>
        <v>0</v>
      </c>
      <c r="E392" s="2">
        <f>'Client 11'!V10</f>
        <v>0</v>
      </c>
      <c r="F392" s="350">
        <f>'Client 11'!W10</f>
        <v>0</v>
      </c>
      <c r="G392" s="2">
        <f>'Client 11'!X10</f>
        <v>0</v>
      </c>
      <c r="H392" s="2">
        <f>'Client 11'!Y10</f>
        <v>0</v>
      </c>
      <c r="I392" s="2">
        <f>'Client 11'!Z10</f>
        <v>0</v>
      </c>
      <c r="J392" s="2">
        <f>'Client 11'!AA10</f>
        <v>0</v>
      </c>
      <c r="K392" s="2">
        <f>'Client 11'!AB10</f>
        <v>0</v>
      </c>
      <c r="L392" s="2" cm="1">
        <f t="array" aca="1" ref="L392" ca="1">IF(B392=0,0,INDIRECT("MRN_"&amp;A392))</f>
        <v>0</v>
      </c>
      <c r="M392" s="2">
        <f t="shared" si="87"/>
        <v>0</v>
      </c>
      <c r="N392" s="2" t="str">
        <f t="shared" si="88"/>
        <v>No</v>
      </c>
      <c r="O392" s="2" t="str">
        <f t="shared" si="89"/>
        <v>No</v>
      </c>
      <c r="P392" s="2" t="str" cm="1">
        <f t="array" aca="1" ref="P392" ca="1">IF(OR(INDIRECT("MRN_"&amp;A392)="N/A",B392=0),"No","Yes")</f>
        <v>No</v>
      </c>
    </row>
    <row r="393" spans="1:16" x14ac:dyDescent="0.2">
      <c r="A393" s="68">
        <v>11</v>
      </c>
      <c r="B393" s="349">
        <f>'Client 11'!S11</f>
        <v>0</v>
      </c>
      <c r="C393" s="2">
        <f>'Client 11'!T11</f>
        <v>0</v>
      </c>
      <c r="D393" s="2">
        <f>'Client 11'!U11</f>
        <v>0</v>
      </c>
      <c r="E393" s="2">
        <f>'Client 11'!V11</f>
        <v>0</v>
      </c>
      <c r="F393" s="350">
        <f>'Client 11'!W11</f>
        <v>0</v>
      </c>
      <c r="G393" s="2">
        <f>'Client 11'!X11</f>
        <v>0</v>
      </c>
      <c r="H393" s="2">
        <f>'Client 11'!Y11</f>
        <v>0</v>
      </c>
      <c r="I393" s="2">
        <f>'Client 11'!Z11</f>
        <v>0</v>
      </c>
      <c r="J393" s="2">
        <f>'Client 11'!AA11</f>
        <v>0</v>
      </c>
      <c r="K393" s="2">
        <f>'Client 11'!AB11</f>
        <v>0</v>
      </c>
      <c r="L393" s="2" cm="1">
        <f t="array" aca="1" ref="L393" ca="1">IF(B393=0,0,INDIRECT("MRN_"&amp;A393))</f>
        <v>0</v>
      </c>
      <c r="M393" s="2">
        <f t="shared" si="87"/>
        <v>0</v>
      </c>
      <c r="N393" s="2" t="str">
        <f t="shared" si="88"/>
        <v>No</v>
      </c>
      <c r="O393" s="2" t="str">
        <f t="shared" si="89"/>
        <v>No</v>
      </c>
      <c r="P393" s="2" t="str" cm="1">
        <f t="array" aca="1" ref="P393" ca="1">IF(OR(INDIRECT("MRN_"&amp;A393)="N/A",B393=0),"No","Yes")</f>
        <v>No</v>
      </c>
    </row>
    <row r="394" spans="1:16" x14ac:dyDescent="0.2">
      <c r="A394" s="68">
        <v>11</v>
      </c>
      <c r="B394" s="349">
        <f>'Client 11'!S12</f>
        <v>0</v>
      </c>
      <c r="C394" s="2">
        <f>'Client 11'!T12</f>
        <v>0</v>
      </c>
      <c r="D394" s="2">
        <f>'Client 11'!U12</f>
        <v>0</v>
      </c>
      <c r="E394" s="2">
        <f>'Client 11'!V12</f>
        <v>0</v>
      </c>
      <c r="F394" s="350">
        <f>'Client 11'!W12</f>
        <v>0</v>
      </c>
      <c r="G394" s="2">
        <f>'Client 11'!X12</f>
        <v>0</v>
      </c>
      <c r="H394" s="2">
        <f>'Client 11'!Y12</f>
        <v>0</v>
      </c>
      <c r="I394" s="2">
        <f>'Client 11'!Z12</f>
        <v>0</v>
      </c>
      <c r="J394" s="2">
        <f>'Client 11'!AA12</f>
        <v>0</v>
      </c>
      <c r="K394" s="2">
        <f>'Client 11'!AB12</f>
        <v>0</v>
      </c>
      <c r="L394" s="2" cm="1">
        <f t="array" aca="1" ref="L394" ca="1">IF(B394=0,0,INDIRECT("MRN_"&amp;A394))</f>
        <v>0</v>
      </c>
      <c r="M394" s="2">
        <f t="shared" si="87"/>
        <v>0</v>
      </c>
      <c r="N394" s="2" t="str">
        <f t="shared" si="88"/>
        <v>No</v>
      </c>
      <c r="O394" s="2" t="str">
        <f t="shared" si="89"/>
        <v>No</v>
      </c>
      <c r="P394" s="2" t="str" cm="1">
        <f t="array" aca="1" ref="P394" ca="1">IF(OR(INDIRECT("MRN_"&amp;A394)="N/A",B394=0),"No","Yes")</f>
        <v>No</v>
      </c>
    </row>
    <row r="395" spans="1:16" x14ac:dyDescent="0.2">
      <c r="A395" s="68">
        <v>11</v>
      </c>
      <c r="B395" s="349">
        <f>'Client 11'!S13</f>
        <v>0</v>
      </c>
      <c r="C395" s="2">
        <f>'Client 11'!T13</f>
        <v>0</v>
      </c>
      <c r="D395" s="2">
        <f>'Client 11'!U13</f>
        <v>0</v>
      </c>
      <c r="E395" s="2">
        <f>'Client 11'!V13</f>
        <v>0</v>
      </c>
      <c r="F395" s="350">
        <f>'Client 11'!W13</f>
        <v>0</v>
      </c>
      <c r="G395" s="2">
        <f>'Client 11'!X13</f>
        <v>0</v>
      </c>
      <c r="H395" s="2">
        <f>'Client 11'!Y13</f>
        <v>0</v>
      </c>
      <c r="I395" s="2">
        <f>'Client 11'!Z13</f>
        <v>0</v>
      </c>
      <c r="J395" s="2">
        <f>'Client 11'!AA13</f>
        <v>0</v>
      </c>
      <c r="K395" s="2">
        <f>'Client 11'!AB13</f>
        <v>0</v>
      </c>
      <c r="L395" s="2" cm="1">
        <f t="array" aca="1" ref="L395" ca="1">IF(B395=0,0,INDIRECT("MRN_"&amp;A395))</f>
        <v>0</v>
      </c>
      <c r="M395" s="2">
        <f t="shared" si="87"/>
        <v>0</v>
      </c>
      <c r="N395" s="2" t="str">
        <f t="shared" si="88"/>
        <v>No</v>
      </c>
      <c r="O395" s="2" t="str">
        <f t="shared" si="89"/>
        <v>No</v>
      </c>
      <c r="P395" s="2" t="str" cm="1">
        <f t="array" aca="1" ref="P395" ca="1">IF(OR(INDIRECT("MRN_"&amp;A395)="N/A",B395=0),"No","Yes")</f>
        <v>No</v>
      </c>
    </row>
    <row r="396" spans="1:16" x14ac:dyDescent="0.2">
      <c r="A396" s="68">
        <v>11</v>
      </c>
      <c r="B396" s="349">
        <f>'Client 11'!S14</f>
        <v>0</v>
      </c>
      <c r="C396" s="2">
        <f>'Client 11'!T14</f>
        <v>0</v>
      </c>
      <c r="D396" s="2">
        <f>'Client 11'!U14</f>
        <v>0</v>
      </c>
      <c r="E396" s="2">
        <f>'Client 11'!V14</f>
        <v>0</v>
      </c>
      <c r="F396" s="350">
        <f>'Client 11'!W14</f>
        <v>0</v>
      </c>
      <c r="G396" s="2">
        <f>'Client 11'!X14</f>
        <v>0</v>
      </c>
      <c r="H396" s="2">
        <f>'Client 11'!Y14</f>
        <v>0</v>
      </c>
      <c r="I396" s="2">
        <f>'Client 11'!Z14</f>
        <v>0</v>
      </c>
      <c r="J396" s="2">
        <f>'Client 11'!AA14</f>
        <v>0</v>
      </c>
      <c r="K396" s="2">
        <f>'Client 11'!AB14</f>
        <v>0</v>
      </c>
      <c r="L396" s="2" cm="1">
        <f t="array" aca="1" ref="L396" ca="1">IF(B396=0,0,INDIRECT("MRN_"&amp;A396))</f>
        <v>0</v>
      </c>
      <c r="M396" s="2">
        <f t="shared" si="87"/>
        <v>0</v>
      </c>
      <c r="N396" s="2" t="str">
        <f t="shared" si="88"/>
        <v>No</v>
      </c>
      <c r="O396" s="2" t="str">
        <f t="shared" si="89"/>
        <v>No</v>
      </c>
      <c r="P396" s="2" t="str" cm="1">
        <f t="array" aca="1" ref="P396" ca="1">IF(OR(INDIRECT("MRN_"&amp;A396)="N/A",B396=0),"No","Yes")</f>
        <v>No</v>
      </c>
    </row>
    <row r="397" spans="1:16" x14ac:dyDescent="0.2">
      <c r="A397" s="68">
        <v>11</v>
      </c>
      <c r="B397" s="349">
        <f>'Client 11'!S15</f>
        <v>0</v>
      </c>
      <c r="C397" s="2">
        <f>'Client 11'!T15</f>
        <v>0</v>
      </c>
      <c r="D397" s="2">
        <f>'Client 11'!U15</f>
        <v>0</v>
      </c>
      <c r="E397" s="2">
        <f>'Client 11'!V15</f>
        <v>0</v>
      </c>
      <c r="F397" s="350">
        <f>'Client 11'!W15</f>
        <v>0</v>
      </c>
      <c r="G397" s="2">
        <f>'Client 11'!X15</f>
        <v>0</v>
      </c>
      <c r="H397" s="2">
        <f>'Client 11'!Y15</f>
        <v>0</v>
      </c>
      <c r="I397" s="2">
        <f>'Client 11'!Z15</f>
        <v>0</v>
      </c>
      <c r="J397" s="2">
        <f>'Client 11'!AA15</f>
        <v>0</v>
      </c>
      <c r="K397" s="2">
        <f>'Client 11'!AB15</f>
        <v>0</v>
      </c>
      <c r="L397" s="2" cm="1">
        <f t="array" aca="1" ref="L397" ca="1">IF(B397=0,0,INDIRECT("MRN_"&amp;A397))</f>
        <v>0</v>
      </c>
      <c r="M397" s="2">
        <f t="shared" si="87"/>
        <v>0</v>
      </c>
      <c r="N397" s="2" t="str">
        <f t="shared" si="88"/>
        <v>No</v>
      </c>
      <c r="O397" s="2" t="str">
        <f t="shared" si="89"/>
        <v>No</v>
      </c>
      <c r="P397" s="2" t="str" cm="1">
        <f t="array" aca="1" ref="P397" ca="1">IF(OR(INDIRECT("MRN_"&amp;A397)="N/A",B397=0),"No","Yes")</f>
        <v>No</v>
      </c>
    </row>
    <row r="398" spans="1:16" x14ac:dyDescent="0.2">
      <c r="A398" s="68">
        <v>11</v>
      </c>
      <c r="B398" s="349">
        <f>'Client 11'!S16</f>
        <v>0</v>
      </c>
      <c r="C398" s="2">
        <f>'Client 11'!T16</f>
        <v>0</v>
      </c>
      <c r="D398" s="2">
        <f>'Client 11'!U16</f>
        <v>0</v>
      </c>
      <c r="E398" s="2">
        <f>'Client 11'!V16</f>
        <v>0</v>
      </c>
      <c r="F398" s="350">
        <f>'Client 11'!W16</f>
        <v>0</v>
      </c>
      <c r="G398" s="2">
        <f>'Client 11'!X16</f>
        <v>0</v>
      </c>
      <c r="H398" s="2">
        <f>'Client 11'!Y16</f>
        <v>0</v>
      </c>
      <c r="I398" s="2">
        <f>'Client 11'!Z16</f>
        <v>0</v>
      </c>
      <c r="J398" s="2">
        <f>'Client 11'!AA16</f>
        <v>0</v>
      </c>
      <c r="K398" s="2">
        <f>'Client 11'!AB16</f>
        <v>0</v>
      </c>
      <c r="L398" s="2" cm="1">
        <f t="array" aca="1" ref="L398" ca="1">IF(B398=0,0,INDIRECT("MRN_"&amp;A398))</f>
        <v>0</v>
      </c>
      <c r="M398" s="2">
        <f t="shared" si="87"/>
        <v>0</v>
      </c>
      <c r="N398" s="2" t="str">
        <f t="shared" si="88"/>
        <v>No</v>
      </c>
      <c r="O398" s="2" t="str">
        <f t="shared" si="89"/>
        <v>No</v>
      </c>
      <c r="P398" s="2" t="str" cm="1">
        <f t="array" aca="1" ref="P398" ca="1">IF(OR(INDIRECT("MRN_"&amp;A398)="N/A",B398=0),"No","Yes")</f>
        <v>No</v>
      </c>
    </row>
    <row r="399" spans="1:16" x14ac:dyDescent="0.2">
      <c r="A399" s="68">
        <v>11</v>
      </c>
      <c r="B399" s="349">
        <f>'Client 11'!S17</f>
        <v>0</v>
      </c>
      <c r="C399" s="2">
        <f>'Client 11'!T17</f>
        <v>0</v>
      </c>
      <c r="D399" s="2">
        <f>'Client 11'!U17</f>
        <v>0</v>
      </c>
      <c r="E399" s="2">
        <f>'Client 11'!V17</f>
        <v>0</v>
      </c>
      <c r="F399" s="350">
        <f>'Client 11'!W17</f>
        <v>0</v>
      </c>
      <c r="G399" s="2">
        <f>'Client 11'!X17</f>
        <v>0</v>
      </c>
      <c r="H399" s="2">
        <f>'Client 11'!Y17</f>
        <v>0</v>
      </c>
      <c r="I399" s="2">
        <f>'Client 11'!Z17</f>
        <v>0</v>
      </c>
      <c r="J399" s="2">
        <f>'Client 11'!AA17</f>
        <v>0</v>
      </c>
      <c r="K399" s="2">
        <f>'Client 11'!AB17</f>
        <v>0</v>
      </c>
      <c r="L399" s="2" cm="1">
        <f t="array" aca="1" ref="L399" ca="1">IF(B399=0,0,INDIRECT("MRN_"&amp;A399))</f>
        <v>0</v>
      </c>
      <c r="M399" s="2">
        <f t="shared" si="87"/>
        <v>0</v>
      </c>
      <c r="N399" s="2" t="str">
        <f t="shared" si="88"/>
        <v>No</v>
      </c>
      <c r="O399" s="2" t="str">
        <f t="shared" si="89"/>
        <v>No</v>
      </c>
      <c r="P399" s="2" t="str" cm="1">
        <f t="array" aca="1" ref="P399" ca="1">IF(OR(INDIRECT("MRN_"&amp;A399)="N/A",B399=0),"No","Yes")</f>
        <v>No</v>
      </c>
    </row>
    <row r="400" spans="1:16" x14ac:dyDescent="0.2">
      <c r="A400" s="68">
        <v>11</v>
      </c>
      <c r="B400" s="349">
        <f>'Client 11'!S18</f>
        <v>0</v>
      </c>
      <c r="C400" s="2">
        <f>'Client 11'!T18</f>
        <v>0</v>
      </c>
      <c r="D400" s="2">
        <f>'Client 11'!U18</f>
        <v>0</v>
      </c>
      <c r="E400" s="2">
        <f>'Client 11'!V18</f>
        <v>0</v>
      </c>
      <c r="F400" s="350">
        <f>'Client 11'!W18</f>
        <v>0</v>
      </c>
      <c r="G400" s="2">
        <f>'Client 11'!X18</f>
        <v>0</v>
      </c>
      <c r="H400" s="2">
        <f>'Client 11'!Y18</f>
        <v>0</v>
      </c>
      <c r="I400" s="2">
        <f>'Client 11'!Z18</f>
        <v>0</v>
      </c>
      <c r="J400" s="2">
        <f>'Client 11'!AA18</f>
        <v>0</v>
      </c>
      <c r="K400" s="2">
        <f>'Client 11'!AB18</f>
        <v>0</v>
      </c>
      <c r="L400" s="2" cm="1">
        <f t="array" aca="1" ref="L400" ca="1">IF(B400=0,0,INDIRECT("MRN_"&amp;A400))</f>
        <v>0</v>
      </c>
      <c r="M400" s="2">
        <f t="shared" si="87"/>
        <v>0</v>
      </c>
      <c r="N400" s="2" t="str">
        <f t="shared" si="88"/>
        <v>No</v>
      </c>
      <c r="O400" s="2" t="str">
        <f t="shared" si="89"/>
        <v>No</v>
      </c>
      <c r="P400" s="2" t="str" cm="1">
        <f t="array" aca="1" ref="P400" ca="1">IF(OR(INDIRECT("MRN_"&amp;A400)="N/A",B400=0),"No","Yes")</f>
        <v>No</v>
      </c>
    </row>
    <row r="401" spans="1:16" x14ac:dyDescent="0.2">
      <c r="A401" s="68">
        <v>11</v>
      </c>
      <c r="B401" s="349">
        <f>'Client 11'!S19</f>
        <v>0</v>
      </c>
      <c r="C401" s="2">
        <f>'Client 11'!T19</f>
        <v>0</v>
      </c>
      <c r="D401" s="2">
        <f>'Client 11'!U19</f>
        <v>0</v>
      </c>
      <c r="E401" s="2">
        <f>'Client 11'!V19</f>
        <v>0</v>
      </c>
      <c r="F401" s="350">
        <f>'Client 11'!W19</f>
        <v>0</v>
      </c>
      <c r="G401" s="2">
        <f>'Client 11'!X19</f>
        <v>0</v>
      </c>
      <c r="H401" s="2">
        <f>'Client 11'!Y19</f>
        <v>0</v>
      </c>
      <c r="I401" s="2">
        <f>'Client 11'!Z19</f>
        <v>0</v>
      </c>
      <c r="J401" s="2">
        <f>'Client 11'!AA19</f>
        <v>0</v>
      </c>
      <c r="K401" s="2">
        <f>'Client 11'!AB19</f>
        <v>0</v>
      </c>
      <c r="L401" s="2" cm="1">
        <f t="array" aca="1" ref="L401" ca="1">IF(B401=0,0,INDIRECT("MRN_"&amp;A401))</f>
        <v>0</v>
      </c>
      <c r="M401" s="2">
        <f t="shared" si="87"/>
        <v>0</v>
      </c>
      <c r="N401" s="2" t="str">
        <f t="shared" si="88"/>
        <v>No</v>
      </c>
      <c r="O401" s="2" t="str">
        <f t="shared" si="89"/>
        <v>No</v>
      </c>
      <c r="P401" s="2" t="str" cm="1">
        <f t="array" aca="1" ref="P401" ca="1">IF(OR(INDIRECT("MRN_"&amp;A401)="N/A",B401=0),"No","Yes")</f>
        <v>No</v>
      </c>
    </row>
    <row r="402" spans="1:16" x14ac:dyDescent="0.2">
      <c r="A402" s="68">
        <v>11</v>
      </c>
      <c r="B402" s="349">
        <f>'Client 11'!S20</f>
        <v>0</v>
      </c>
      <c r="C402" s="2">
        <f>'Client 11'!T20</f>
        <v>0</v>
      </c>
      <c r="D402" s="2">
        <f>'Client 11'!U20</f>
        <v>0</v>
      </c>
      <c r="E402" s="2">
        <f>'Client 11'!V20</f>
        <v>0</v>
      </c>
      <c r="F402" s="350">
        <f>'Client 11'!W20</f>
        <v>0</v>
      </c>
      <c r="G402" s="2">
        <f>'Client 11'!X20</f>
        <v>0</v>
      </c>
      <c r="H402" s="2">
        <f>'Client 11'!Y20</f>
        <v>0</v>
      </c>
      <c r="I402" s="2">
        <f>'Client 11'!Z20</f>
        <v>0</v>
      </c>
      <c r="J402" s="2">
        <f>'Client 11'!AA20</f>
        <v>0</v>
      </c>
      <c r="K402" s="2">
        <f>'Client 11'!AB20</f>
        <v>0</v>
      </c>
      <c r="L402" s="2" cm="1">
        <f t="array" aca="1" ref="L402" ca="1">IF(B402=0,0,INDIRECT("MRN_"&amp;A402))</f>
        <v>0</v>
      </c>
      <c r="M402" s="2">
        <f t="shared" si="87"/>
        <v>0</v>
      </c>
      <c r="N402" s="2" t="str">
        <f t="shared" si="88"/>
        <v>No</v>
      </c>
      <c r="O402" s="2" t="str">
        <f t="shared" si="89"/>
        <v>No</v>
      </c>
      <c r="P402" s="2" t="str" cm="1">
        <f t="array" aca="1" ref="P402" ca="1">IF(OR(INDIRECT("MRN_"&amp;A402)="N/A",B402=0),"No","Yes")</f>
        <v>No</v>
      </c>
    </row>
    <row r="403" spans="1:16" x14ac:dyDescent="0.2">
      <c r="A403" s="68">
        <v>11</v>
      </c>
      <c r="B403" s="349">
        <f>'Client 11'!S21</f>
        <v>0</v>
      </c>
      <c r="C403" s="2">
        <f>'Client 11'!T21</f>
        <v>0</v>
      </c>
      <c r="D403" s="2">
        <f>'Client 11'!U21</f>
        <v>0</v>
      </c>
      <c r="E403" s="2">
        <f>'Client 11'!V21</f>
        <v>0</v>
      </c>
      <c r="F403" s="350">
        <f>'Client 11'!W21</f>
        <v>0</v>
      </c>
      <c r="G403" s="2">
        <f>'Client 11'!X21</f>
        <v>0</v>
      </c>
      <c r="H403" s="2">
        <f>'Client 11'!Y21</f>
        <v>0</v>
      </c>
      <c r="I403" s="2">
        <f>'Client 11'!Z21</f>
        <v>0</v>
      </c>
      <c r="J403" s="2">
        <f>'Client 11'!AA21</f>
        <v>0</v>
      </c>
      <c r="K403" s="2">
        <f>'Client 11'!AB21</f>
        <v>0</v>
      </c>
      <c r="L403" s="2" cm="1">
        <f t="array" aca="1" ref="L403" ca="1">IF(B403=0,0,INDIRECT("MRN_"&amp;A403))</f>
        <v>0</v>
      </c>
      <c r="M403" s="2">
        <f t="shared" si="87"/>
        <v>0</v>
      </c>
      <c r="N403" s="2" t="str">
        <f t="shared" si="88"/>
        <v>No</v>
      </c>
      <c r="O403" s="2" t="str">
        <f t="shared" si="89"/>
        <v>No</v>
      </c>
      <c r="P403" s="2" t="str" cm="1">
        <f t="array" aca="1" ref="P403" ca="1">IF(OR(INDIRECT("MRN_"&amp;A403)="N/A",B403=0),"No","Yes")</f>
        <v>No</v>
      </c>
    </row>
    <row r="404" spans="1:16" x14ac:dyDescent="0.2">
      <c r="A404" s="68">
        <v>11</v>
      </c>
      <c r="B404" s="349">
        <f>'Client 11'!S22</f>
        <v>0</v>
      </c>
      <c r="C404" s="2">
        <f>'Client 11'!T22</f>
        <v>0</v>
      </c>
      <c r="D404" s="2">
        <f>'Client 11'!U22</f>
        <v>0</v>
      </c>
      <c r="E404" s="2">
        <f>'Client 11'!V22</f>
        <v>0</v>
      </c>
      <c r="F404" s="350">
        <f>'Client 11'!W22</f>
        <v>0</v>
      </c>
      <c r="G404" s="2">
        <f>'Client 11'!X22</f>
        <v>0</v>
      </c>
      <c r="H404" s="2">
        <f>'Client 11'!Y22</f>
        <v>0</v>
      </c>
      <c r="I404" s="2">
        <f>'Client 11'!Z22</f>
        <v>0</v>
      </c>
      <c r="J404" s="2">
        <f>'Client 11'!AA22</f>
        <v>0</v>
      </c>
      <c r="K404" s="2">
        <f>'Client 11'!AB22</f>
        <v>0</v>
      </c>
      <c r="L404" s="2" cm="1">
        <f t="array" aca="1" ref="L404" ca="1">IF(B404=0,0,INDIRECT("MRN_"&amp;A404))</f>
        <v>0</v>
      </c>
      <c r="M404" s="2">
        <f t="shared" si="87"/>
        <v>0</v>
      </c>
      <c r="N404" s="2" t="str">
        <f t="shared" si="88"/>
        <v>No</v>
      </c>
      <c r="O404" s="2" t="str">
        <f t="shared" si="89"/>
        <v>No</v>
      </c>
      <c r="P404" s="2" t="str" cm="1">
        <f t="array" aca="1" ref="P404" ca="1">IF(OR(INDIRECT("MRN_"&amp;A404)="N/A",B404=0),"No","Yes")</f>
        <v>No</v>
      </c>
    </row>
    <row r="405" spans="1:16" x14ac:dyDescent="0.2">
      <c r="A405" s="68">
        <v>11</v>
      </c>
      <c r="B405" s="349">
        <f>'Client 11'!S23</f>
        <v>0</v>
      </c>
      <c r="C405" s="2">
        <f>'Client 11'!T23</f>
        <v>0</v>
      </c>
      <c r="D405" s="2">
        <f>'Client 11'!U23</f>
        <v>0</v>
      </c>
      <c r="E405" s="2">
        <f>'Client 11'!V23</f>
        <v>0</v>
      </c>
      <c r="F405" s="350">
        <f>'Client 11'!W23</f>
        <v>0</v>
      </c>
      <c r="G405" s="2">
        <f>'Client 11'!X23</f>
        <v>0</v>
      </c>
      <c r="H405" s="2">
        <f>'Client 11'!Y23</f>
        <v>0</v>
      </c>
      <c r="I405" s="2">
        <f>'Client 11'!Z23</f>
        <v>0</v>
      </c>
      <c r="J405" s="2">
        <f>'Client 11'!AA23</f>
        <v>0</v>
      </c>
      <c r="K405" s="2">
        <f>'Client 11'!AB23</f>
        <v>0</v>
      </c>
      <c r="L405" s="2" cm="1">
        <f t="array" aca="1" ref="L405" ca="1">IF(B405=0,0,INDIRECT("MRN_"&amp;A405))</f>
        <v>0</v>
      </c>
      <c r="M405" s="2">
        <f t="shared" si="87"/>
        <v>0</v>
      </c>
      <c r="N405" s="2" t="str">
        <f t="shared" si="88"/>
        <v>No</v>
      </c>
      <c r="O405" s="2" t="str">
        <f t="shared" si="89"/>
        <v>No</v>
      </c>
      <c r="P405" s="2" t="str" cm="1">
        <f t="array" aca="1" ref="P405" ca="1">IF(OR(INDIRECT("MRN_"&amp;A405)="N/A",B405=0),"No","Yes")</f>
        <v>No</v>
      </c>
    </row>
    <row r="406" spans="1:16" x14ac:dyDescent="0.2">
      <c r="A406" s="68">
        <v>11</v>
      </c>
      <c r="B406" s="349">
        <f>'Client 11'!S24</f>
        <v>0</v>
      </c>
      <c r="C406" s="2">
        <f>'Client 11'!T24</f>
        <v>0</v>
      </c>
      <c r="D406" s="2">
        <f>'Client 11'!U24</f>
        <v>0</v>
      </c>
      <c r="E406" s="2">
        <f>'Client 11'!V24</f>
        <v>0</v>
      </c>
      <c r="F406" s="350">
        <f>'Client 11'!W24</f>
        <v>0</v>
      </c>
      <c r="G406" s="2">
        <f>'Client 11'!X24</f>
        <v>0</v>
      </c>
      <c r="H406" s="2">
        <f>'Client 11'!Y24</f>
        <v>0</v>
      </c>
      <c r="I406" s="2">
        <f>'Client 11'!Z24</f>
        <v>0</v>
      </c>
      <c r="J406" s="2">
        <f>'Client 11'!AA24</f>
        <v>0</v>
      </c>
      <c r="K406" s="2">
        <f>'Client 11'!AB24</f>
        <v>0</v>
      </c>
      <c r="L406" s="2" cm="1">
        <f t="array" aca="1" ref="L406" ca="1">IF(B406=0,0,INDIRECT("MRN_"&amp;A406))</f>
        <v>0</v>
      </c>
      <c r="M406" s="2">
        <f t="shared" si="87"/>
        <v>0</v>
      </c>
      <c r="N406" s="2" t="str">
        <f t="shared" si="88"/>
        <v>No</v>
      </c>
      <c r="O406" s="2" t="str">
        <f t="shared" si="89"/>
        <v>No</v>
      </c>
      <c r="P406" s="2" t="str" cm="1">
        <f t="array" aca="1" ref="P406" ca="1">IF(OR(INDIRECT("MRN_"&amp;A406)="N/A",B406=0),"No","Yes")</f>
        <v>No</v>
      </c>
    </row>
    <row r="407" spans="1:16" x14ac:dyDescent="0.2">
      <c r="A407" s="68">
        <v>11</v>
      </c>
      <c r="B407" s="349">
        <f>'Client 11'!S25</f>
        <v>0</v>
      </c>
      <c r="C407" s="2">
        <f>'Client 11'!T25</f>
        <v>0</v>
      </c>
      <c r="D407" s="2">
        <f>'Client 11'!U25</f>
        <v>0</v>
      </c>
      <c r="E407" s="2">
        <f>'Client 11'!V25</f>
        <v>0</v>
      </c>
      <c r="F407" s="350">
        <f>'Client 11'!W25</f>
        <v>0</v>
      </c>
      <c r="G407" s="2">
        <f>'Client 11'!X25</f>
        <v>0</v>
      </c>
      <c r="H407" s="2">
        <f>'Client 11'!Y25</f>
        <v>0</v>
      </c>
      <c r="I407" s="2">
        <f>'Client 11'!Z25</f>
        <v>0</v>
      </c>
      <c r="J407" s="2">
        <f>'Client 11'!AA25</f>
        <v>0</v>
      </c>
      <c r="K407" s="2">
        <f>'Client 11'!AB25</f>
        <v>0</v>
      </c>
      <c r="L407" s="2" cm="1">
        <f t="array" aca="1" ref="L407" ca="1">IF(B407=0,0,INDIRECT("MRN_"&amp;A407))</f>
        <v>0</v>
      </c>
      <c r="M407" s="2">
        <f t="shared" si="87"/>
        <v>0</v>
      </c>
      <c r="N407" s="2" t="str">
        <f t="shared" si="88"/>
        <v>No</v>
      </c>
      <c r="O407" s="2" t="str">
        <f t="shared" si="89"/>
        <v>No</v>
      </c>
      <c r="P407" s="2" t="str" cm="1">
        <f t="array" aca="1" ref="P407" ca="1">IF(OR(INDIRECT("MRN_"&amp;A407)="N/A",B407=0),"No","Yes")</f>
        <v>No</v>
      </c>
    </row>
    <row r="408" spans="1:16" x14ac:dyDescent="0.2">
      <c r="A408" s="68">
        <v>11</v>
      </c>
      <c r="B408" s="349">
        <f>'Client 11'!S26</f>
        <v>0</v>
      </c>
      <c r="C408" s="2">
        <f>'Client 11'!T26</f>
        <v>0</v>
      </c>
      <c r="D408" s="2">
        <f>'Client 11'!U26</f>
        <v>0</v>
      </c>
      <c r="E408" s="2">
        <f>'Client 11'!V26</f>
        <v>0</v>
      </c>
      <c r="F408" s="350">
        <f>'Client 11'!W26</f>
        <v>0</v>
      </c>
      <c r="G408" s="2">
        <f>'Client 11'!X26</f>
        <v>0</v>
      </c>
      <c r="H408" s="2">
        <f>'Client 11'!Y26</f>
        <v>0</v>
      </c>
      <c r="I408" s="2">
        <f>'Client 11'!Z26</f>
        <v>0</v>
      </c>
      <c r="J408" s="2">
        <f>'Client 11'!AA26</f>
        <v>0</v>
      </c>
      <c r="K408" s="2">
        <f>'Client 11'!AB26</f>
        <v>0</v>
      </c>
      <c r="L408" s="2" cm="1">
        <f t="array" aca="1" ref="L408" ca="1">IF(B408=0,0,INDIRECT("MRN_"&amp;A408))</f>
        <v>0</v>
      </c>
      <c r="M408" s="2">
        <f t="shared" si="87"/>
        <v>0</v>
      </c>
      <c r="N408" s="2" t="str">
        <f t="shared" si="88"/>
        <v>No</v>
      </c>
      <c r="O408" s="2" t="str">
        <f t="shared" si="89"/>
        <v>No</v>
      </c>
      <c r="P408" s="2" t="str" cm="1">
        <f t="array" aca="1" ref="P408" ca="1">IF(OR(INDIRECT("MRN_"&amp;A408)="N/A",B408=0),"No","Yes")</f>
        <v>No</v>
      </c>
    </row>
    <row r="409" spans="1:16" x14ac:dyDescent="0.2">
      <c r="A409" s="68">
        <v>11</v>
      </c>
      <c r="B409" s="349">
        <f>'Client 11'!S27</f>
        <v>0</v>
      </c>
      <c r="C409" s="2">
        <f>'Client 11'!T27</f>
        <v>0</v>
      </c>
      <c r="D409" s="2">
        <f>'Client 11'!U27</f>
        <v>0</v>
      </c>
      <c r="E409" s="2">
        <f>'Client 11'!V27</f>
        <v>0</v>
      </c>
      <c r="F409" s="350">
        <f>'Client 11'!W27</f>
        <v>0</v>
      </c>
      <c r="G409" s="2">
        <f>'Client 11'!X27</f>
        <v>0</v>
      </c>
      <c r="H409" s="2">
        <f>'Client 11'!Y27</f>
        <v>0</v>
      </c>
      <c r="I409" s="2">
        <f>'Client 11'!Z27</f>
        <v>0</v>
      </c>
      <c r="J409" s="2">
        <f>'Client 11'!AA27</f>
        <v>0</v>
      </c>
      <c r="K409" s="2">
        <f>'Client 11'!AB27</f>
        <v>0</v>
      </c>
      <c r="L409" s="2" cm="1">
        <f t="array" aca="1" ref="L409" ca="1">IF(B409=0,0,INDIRECT("MRN_"&amp;A409))</f>
        <v>0</v>
      </c>
      <c r="M409" s="2">
        <f t="shared" si="87"/>
        <v>0</v>
      </c>
      <c r="N409" s="2" t="str">
        <f t="shared" si="88"/>
        <v>No</v>
      </c>
      <c r="O409" s="2" t="str">
        <f t="shared" si="89"/>
        <v>No</v>
      </c>
      <c r="P409" s="2" t="str" cm="1">
        <f t="array" aca="1" ref="P409" ca="1">IF(OR(INDIRECT("MRN_"&amp;A409)="N/A",B409=0),"No","Yes")</f>
        <v>No</v>
      </c>
    </row>
    <row r="410" spans="1:16" x14ac:dyDescent="0.2">
      <c r="A410" s="68">
        <v>11</v>
      </c>
      <c r="B410" s="349">
        <f>'Client 11'!S28</f>
        <v>0</v>
      </c>
      <c r="C410" s="2">
        <f>'Client 11'!T28</f>
        <v>0</v>
      </c>
      <c r="D410" s="2">
        <f>'Client 11'!U28</f>
        <v>0</v>
      </c>
      <c r="E410" s="2">
        <f>'Client 11'!V28</f>
        <v>0</v>
      </c>
      <c r="F410" s="350">
        <f>'Client 11'!W28</f>
        <v>0</v>
      </c>
      <c r="G410" s="2">
        <f>'Client 11'!X28</f>
        <v>0</v>
      </c>
      <c r="H410" s="2">
        <f>'Client 11'!Y28</f>
        <v>0</v>
      </c>
      <c r="I410" s="2">
        <f>'Client 11'!Z28</f>
        <v>0</v>
      </c>
      <c r="J410" s="2">
        <f>'Client 11'!AA28</f>
        <v>0</v>
      </c>
      <c r="K410" s="2">
        <f>'Client 11'!AB28</f>
        <v>0</v>
      </c>
      <c r="L410" s="2" cm="1">
        <f t="array" aca="1" ref="L410" ca="1">IF(B410=0,0,INDIRECT("MRN_"&amp;A410))</f>
        <v>0</v>
      </c>
      <c r="M410" s="2">
        <f t="shared" si="87"/>
        <v>0</v>
      </c>
      <c r="N410" s="2" t="str">
        <f t="shared" si="88"/>
        <v>No</v>
      </c>
      <c r="O410" s="2" t="str">
        <f t="shared" si="89"/>
        <v>No</v>
      </c>
      <c r="P410" s="2" t="str" cm="1">
        <f t="array" aca="1" ref="P410" ca="1">IF(OR(INDIRECT("MRN_"&amp;A410)="N/A",B410=0),"No","Yes")</f>
        <v>No</v>
      </c>
    </row>
    <row r="411" spans="1:16" x14ac:dyDescent="0.2">
      <c r="A411" s="68">
        <v>11</v>
      </c>
      <c r="B411" s="349">
        <f>'Client 11'!S29</f>
        <v>0</v>
      </c>
      <c r="C411" s="2">
        <f>'Client 11'!T29</f>
        <v>0</v>
      </c>
      <c r="D411" s="2">
        <f>'Client 11'!U29</f>
        <v>0</v>
      </c>
      <c r="E411" s="2">
        <f>'Client 11'!V29</f>
        <v>0</v>
      </c>
      <c r="F411" s="350">
        <f>'Client 11'!W29</f>
        <v>0</v>
      </c>
      <c r="G411" s="2">
        <f>'Client 11'!X29</f>
        <v>0</v>
      </c>
      <c r="H411" s="2">
        <f>'Client 11'!Y29</f>
        <v>0</v>
      </c>
      <c r="I411" s="2">
        <f>'Client 11'!Z29</f>
        <v>0</v>
      </c>
      <c r="J411" s="2">
        <f>'Client 11'!AA29</f>
        <v>0</v>
      </c>
      <c r="K411" s="2">
        <f>'Client 11'!AB29</f>
        <v>0</v>
      </c>
      <c r="L411" s="2" cm="1">
        <f t="array" aca="1" ref="L411" ca="1">IF(B411=0,0,INDIRECT("MRN_"&amp;A411))</f>
        <v>0</v>
      </c>
      <c r="M411" s="2">
        <f t="shared" si="87"/>
        <v>0</v>
      </c>
      <c r="N411" s="2" t="str">
        <f t="shared" si="88"/>
        <v>No</v>
      </c>
      <c r="O411" s="2" t="str">
        <f t="shared" si="89"/>
        <v>No</v>
      </c>
      <c r="P411" s="2" t="str" cm="1">
        <f t="array" aca="1" ref="P411" ca="1">IF(OR(INDIRECT("MRN_"&amp;A411)="N/A",B411=0),"No","Yes")</f>
        <v>No</v>
      </c>
    </row>
    <row r="412" spans="1:16" x14ac:dyDescent="0.2">
      <c r="A412" s="68">
        <v>11</v>
      </c>
      <c r="B412" s="349">
        <f>'Client 11'!S30</f>
        <v>0</v>
      </c>
      <c r="C412" s="2">
        <f>'Client 11'!T30</f>
        <v>0</v>
      </c>
      <c r="D412" s="2">
        <f>'Client 11'!U30</f>
        <v>0</v>
      </c>
      <c r="E412" s="2">
        <f>'Client 11'!V30</f>
        <v>0</v>
      </c>
      <c r="F412" s="350">
        <f>'Client 11'!W30</f>
        <v>0</v>
      </c>
      <c r="G412" s="2">
        <f>'Client 11'!X30</f>
        <v>0</v>
      </c>
      <c r="H412" s="2">
        <f>'Client 11'!Y30</f>
        <v>0</v>
      </c>
      <c r="I412" s="2">
        <f>'Client 11'!Z30</f>
        <v>0</v>
      </c>
      <c r="J412" s="2">
        <f>'Client 11'!AA30</f>
        <v>0</v>
      </c>
      <c r="K412" s="2">
        <f>'Client 11'!AB30</f>
        <v>0</v>
      </c>
      <c r="L412" s="2" cm="1">
        <f t="array" aca="1" ref="L412" ca="1">IF(B412=0,0,INDIRECT("MRN_"&amp;A412))</f>
        <v>0</v>
      </c>
      <c r="M412" s="2">
        <f t="shared" ref="M412:M475" si="90">IF(B412=0,0,"Client_"&amp;A412)</f>
        <v>0</v>
      </c>
      <c r="N412" s="2" t="str">
        <f t="shared" ref="N412:N475" si="91">IF(J412=0,"No","Yes")</f>
        <v>No</v>
      </c>
      <c r="O412" s="2" t="str">
        <f t="shared" ref="O412:O475" si="92">IF(I412=0,"No","Yes")</f>
        <v>No</v>
      </c>
      <c r="P412" s="2" t="str" cm="1">
        <f t="array" aca="1" ref="P412" ca="1">IF(OR(INDIRECT("MRN_"&amp;A412)="N/A",B412=0),"No","Yes")</f>
        <v>No</v>
      </c>
    </row>
    <row r="413" spans="1:16" x14ac:dyDescent="0.2">
      <c r="A413" s="68">
        <v>11</v>
      </c>
      <c r="B413" s="349">
        <f>'Client 11'!S31</f>
        <v>0</v>
      </c>
      <c r="C413" s="2">
        <f>'Client 11'!T31</f>
        <v>0</v>
      </c>
      <c r="D413" s="2">
        <f>'Client 11'!U31</f>
        <v>0</v>
      </c>
      <c r="E413" s="2">
        <f>'Client 11'!V31</f>
        <v>0</v>
      </c>
      <c r="F413" s="350">
        <f>'Client 11'!W31</f>
        <v>0</v>
      </c>
      <c r="G413" s="2">
        <f>'Client 11'!X31</f>
        <v>0</v>
      </c>
      <c r="H413" s="2">
        <f>'Client 11'!Y31</f>
        <v>0</v>
      </c>
      <c r="I413" s="2">
        <f>'Client 11'!Z31</f>
        <v>0</v>
      </c>
      <c r="J413" s="2">
        <f>'Client 11'!AA31</f>
        <v>0</v>
      </c>
      <c r="K413" s="2">
        <f>'Client 11'!AB31</f>
        <v>0</v>
      </c>
      <c r="L413" s="2" cm="1">
        <f t="array" aca="1" ref="L413" ca="1">IF(B413=0,0,INDIRECT("MRN_"&amp;A413))</f>
        <v>0</v>
      </c>
      <c r="M413" s="2">
        <f t="shared" si="90"/>
        <v>0</v>
      </c>
      <c r="N413" s="2" t="str">
        <f t="shared" si="91"/>
        <v>No</v>
      </c>
      <c r="O413" s="2" t="str">
        <f t="shared" si="92"/>
        <v>No</v>
      </c>
      <c r="P413" s="2" t="str" cm="1">
        <f t="array" aca="1" ref="P413" ca="1">IF(OR(INDIRECT("MRN_"&amp;A413)="N/A",B413=0),"No","Yes")</f>
        <v>No</v>
      </c>
    </row>
    <row r="414" spans="1:16" x14ac:dyDescent="0.2">
      <c r="A414" s="68">
        <v>11</v>
      </c>
      <c r="B414" s="349">
        <f>'Client 11'!S32</f>
        <v>0</v>
      </c>
      <c r="C414" s="2">
        <f>'Client 11'!T32</f>
        <v>0</v>
      </c>
      <c r="D414" s="2">
        <f>'Client 11'!U32</f>
        <v>0</v>
      </c>
      <c r="E414" s="2">
        <f>'Client 11'!V32</f>
        <v>0</v>
      </c>
      <c r="F414" s="350">
        <f>'Client 11'!W32</f>
        <v>0</v>
      </c>
      <c r="G414" s="2">
        <f>'Client 11'!X32</f>
        <v>0</v>
      </c>
      <c r="H414" s="2">
        <f>'Client 11'!Y32</f>
        <v>0</v>
      </c>
      <c r="I414" s="2">
        <f>'Client 11'!Z32</f>
        <v>0</v>
      </c>
      <c r="J414" s="2">
        <f>'Client 11'!AA32</f>
        <v>0</v>
      </c>
      <c r="K414" s="2">
        <f>'Client 11'!AB32</f>
        <v>0</v>
      </c>
      <c r="L414" s="2" cm="1">
        <f t="array" aca="1" ref="L414" ca="1">IF(B414=0,0,INDIRECT("MRN_"&amp;A414))</f>
        <v>0</v>
      </c>
      <c r="M414" s="2">
        <f t="shared" si="90"/>
        <v>0</v>
      </c>
      <c r="N414" s="2" t="str">
        <f t="shared" si="91"/>
        <v>No</v>
      </c>
      <c r="O414" s="2" t="str">
        <f t="shared" si="92"/>
        <v>No</v>
      </c>
      <c r="P414" s="2" t="str" cm="1">
        <f t="array" aca="1" ref="P414" ca="1">IF(OR(INDIRECT("MRN_"&amp;A414)="N/A",B414=0),"No","Yes")</f>
        <v>No</v>
      </c>
    </row>
    <row r="415" spans="1:16" x14ac:dyDescent="0.2">
      <c r="A415" s="68">
        <v>11</v>
      </c>
      <c r="B415" s="349">
        <f>'Client 11'!S33</f>
        <v>0</v>
      </c>
      <c r="C415" s="2">
        <f>'Client 11'!T33</f>
        <v>0</v>
      </c>
      <c r="D415" s="2">
        <f>'Client 11'!U33</f>
        <v>0</v>
      </c>
      <c r="E415" s="2">
        <f>'Client 11'!V33</f>
        <v>0</v>
      </c>
      <c r="F415" s="350">
        <f>'Client 11'!W33</f>
        <v>0</v>
      </c>
      <c r="G415" s="2">
        <f>'Client 11'!X33</f>
        <v>0</v>
      </c>
      <c r="H415" s="2">
        <f>'Client 11'!Y33</f>
        <v>0</v>
      </c>
      <c r="I415" s="2">
        <f>'Client 11'!Z33</f>
        <v>0</v>
      </c>
      <c r="J415" s="2">
        <f>'Client 11'!AA33</f>
        <v>0</v>
      </c>
      <c r="K415" s="2">
        <f>'Client 11'!AB33</f>
        <v>0</v>
      </c>
      <c r="L415" s="2" cm="1">
        <f t="array" aca="1" ref="L415" ca="1">IF(B415=0,0,INDIRECT("MRN_"&amp;A415))</f>
        <v>0</v>
      </c>
      <c r="M415" s="2">
        <f t="shared" si="90"/>
        <v>0</v>
      </c>
      <c r="N415" s="2" t="str">
        <f t="shared" si="91"/>
        <v>No</v>
      </c>
      <c r="O415" s="2" t="str">
        <f t="shared" si="92"/>
        <v>No</v>
      </c>
      <c r="P415" s="2" t="str" cm="1">
        <f t="array" aca="1" ref="P415" ca="1">IF(OR(INDIRECT("MRN_"&amp;A415)="N/A",B415=0),"No","Yes")</f>
        <v>No</v>
      </c>
    </row>
    <row r="416" spans="1:16" x14ac:dyDescent="0.2">
      <c r="A416" s="68">
        <v>11</v>
      </c>
      <c r="B416" s="349">
        <f>'Client 11'!S34</f>
        <v>0</v>
      </c>
      <c r="C416" s="2">
        <f>'Client 11'!T34</f>
        <v>0</v>
      </c>
      <c r="D416" s="2">
        <f>'Client 11'!U34</f>
        <v>0</v>
      </c>
      <c r="E416" s="2">
        <f>'Client 11'!V34</f>
        <v>0</v>
      </c>
      <c r="F416" s="350">
        <f>'Client 11'!W34</f>
        <v>0</v>
      </c>
      <c r="G416" s="2">
        <f>'Client 11'!X34</f>
        <v>0</v>
      </c>
      <c r="H416" s="2">
        <f>'Client 11'!Y34</f>
        <v>0</v>
      </c>
      <c r="I416" s="2">
        <f>'Client 11'!Z34</f>
        <v>0</v>
      </c>
      <c r="J416" s="2">
        <f>'Client 11'!AA34</f>
        <v>0</v>
      </c>
      <c r="K416" s="2">
        <f>'Client 11'!AB34</f>
        <v>0</v>
      </c>
      <c r="L416" s="2" cm="1">
        <f t="array" aca="1" ref="L416" ca="1">IF(B416=0,0,INDIRECT("MRN_"&amp;A416))</f>
        <v>0</v>
      </c>
      <c r="M416" s="2">
        <f t="shared" si="90"/>
        <v>0</v>
      </c>
      <c r="N416" s="2" t="str">
        <f t="shared" si="91"/>
        <v>No</v>
      </c>
      <c r="O416" s="2" t="str">
        <f t="shared" si="92"/>
        <v>No</v>
      </c>
      <c r="P416" s="2" t="str" cm="1">
        <f t="array" aca="1" ref="P416" ca="1">IF(OR(INDIRECT("MRN_"&amp;A416)="N/A",B416=0),"No","Yes")</f>
        <v>No</v>
      </c>
    </row>
    <row r="417" spans="1:16" x14ac:dyDescent="0.2">
      <c r="A417" s="68">
        <v>11</v>
      </c>
      <c r="B417" s="349">
        <f>'Client 11'!S35</f>
        <v>0</v>
      </c>
      <c r="C417" s="2">
        <f>'Client 11'!T35</f>
        <v>0</v>
      </c>
      <c r="D417" s="2">
        <f>'Client 11'!U35</f>
        <v>0</v>
      </c>
      <c r="E417" s="2">
        <f>'Client 11'!V35</f>
        <v>0</v>
      </c>
      <c r="F417" s="350">
        <f>'Client 11'!W35</f>
        <v>0</v>
      </c>
      <c r="G417" s="2">
        <f>'Client 11'!X35</f>
        <v>0</v>
      </c>
      <c r="H417" s="2">
        <f>'Client 11'!Y35</f>
        <v>0</v>
      </c>
      <c r="I417" s="2">
        <f>'Client 11'!Z35</f>
        <v>0</v>
      </c>
      <c r="J417" s="2">
        <f>'Client 11'!AA35</f>
        <v>0</v>
      </c>
      <c r="K417" s="2">
        <f>'Client 11'!AB35</f>
        <v>0</v>
      </c>
      <c r="L417" s="2" cm="1">
        <f t="array" aca="1" ref="L417" ca="1">IF(B417=0,0,INDIRECT("MRN_"&amp;A417))</f>
        <v>0</v>
      </c>
      <c r="M417" s="2">
        <f t="shared" si="90"/>
        <v>0</v>
      </c>
      <c r="N417" s="2" t="str">
        <f t="shared" si="91"/>
        <v>No</v>
      </c>
      <c r="O417" s="2" t="str">
        <f t="shared" si="92"/>
        <v>No</v>
      </c>
      <c r="P417" s="2" t="str" cm="1">
        <f t="array" aca="1" ref="P417" ca="1">IF(OR(INDIRECT("MRN_"&amp;A417)="N/A",B417=0),"No","Yes")</f>
        <v>No</v>
      </c>
    </row>
    <row r="418" spans="1:16" x14ac:dyDescent="0.2">
      <c r="A418" s="68">
        <v>11</v>
      </c>
      <c r="B418" s="349">
        <f>'Client 11'!S36</f>
        <v>0</v>
      </c>
      <c r="C418" s="2">
        <f>'Client 11'!T36</f>
        <v>0</v>
      </c>
      <c r="D418" s="2">
        <f>'Client 11'!U36</f>
        <v>0</v>
      </c>
      <c r="E418" s="2">
        <f>'Client 11'!V36</f>
        <v>0</v>
      </c>
      <c r="F418" s="350">
        <f>'Client 11'!W36</f>
        <v>0</v>
      </c>
      <c r="G418" s="2">
        <f>'Client 11'!X36</f>
        <v>0</v>
      </c>
      <c r="H418" s="2">
        <f>'Client 11'!Y36</f>
        <v>0</v>
      </c>
      <c r="I418" s="2">
        <f>'Client 11'!Z36</f>
        <v>0</v>
      </c>
      <c r="J418" s="2">
        <f>'Client 11'!AA36</f>
        <v>0</v>
      </c>
      <c r="K418" s="2">
        <f>'Client 11'!AB36</f>
        <v>0</v>
      </c>
      <c r="L418" s="2" cm="1">
        <f t="array" aca="1" ref="L418" ca="1">IF(B418=0,0,INDIRECT("MRN_"&amp;A418))</f>
        <v>0</v>
      </c>
      <c r="M418" s="2">
        <f t="shared" si="90"/>
        <v>0</v>
      </c>
      <c r="N418" s="2" t="str">
        <f t="shared" si="91"/>
        <v>No</v>
      </c>
      <c r="O418" s="2" t="str">
        <f t="shared" si="92"/>
        <v>No</v>
      </c>
      <c r="P418" s="2" t="str" cm="1">
        <f t="array" aca="1" ref="P418" ca="1">IF(OR(INDIRECT("MRN_"&amp;A418)="N/A",B418=0),"No","Yes")</f>
        <v>No</v>
      </c>
    </row>
    <row r="419" spans="1:16" x14ac:dyDescent="0.2">
      <c r="A419" s="68">
        <v>11</v>
      </c>
      <c r="B419" s="349">
        <f>'Client 11'!S37</f>
        <v>0</v>
      </c>
      <c r="C419" s="2">
        <f>'Client 11'!T37</f>
        <v>0</v>
      </c>
      <c r="D419" s="2">
        <f>'Client 11'!U37</f>
        <v>0</v>
      </c>
      <c r="E419" s="2">
        <f>'Client 11'!V37</f>
        <v>0</v>
      </c>
      <c r="F419" s="350">
        <f>'Client 11'!W37</f>
        <v>0</v>
      </c>
      <c r="G419" s="2">
        <f>'Client 11'!X37</f>
        <v>0</v>
      </c>
      <c r="H419" s="2">
        <f>'Client 11'!Y37</f>
        <v>0</v>
      </c>
      <c r="I419" s="2">
        <f>'Client 11'!Z37</f>
        <v>0</v>
      </c>
      <c r="J419" s="2">
        <f>'Client 11'!AA37</f>
        <v>0</v>
      </c>
      <c r="K419" s="2">
        <f>'Client 11'!AB37</f>
        <v>0</v>
      </c>
      <c r="L419" s="2" cm="1">
        <f t="array" aca="1" ref="L419" ca="1">IF(B419=0,0,INDIRECT("MRN_"&amp;A419))</f>
        <v>0</v>
      </c>
      <c r="M419" s="2">
        <f t="shared" si="90"/>
        <v>0</v>
      </c>
      <c r="N419" s="2" t="str">
        <f t="shared" si="91"/>
        <v>No</v>
      </c>
      <c r="O419" s="2" t="str">
        <f t="shared" si="92"/>
        <v>No</v>
      </c>
      <c r="P419" s="2" t="str" cm="1">
        <f t="array" aca="1" ref="P419" ca="1">IF(OR(INDIRECT("MRN_"&amp;A419)="N/A",B419=0),"No","Yes")</f>
        <v>No</v>
      </c>
    </row>
    <row r="420" spans="1:16" x14ac:dyDescent="0.2">
      <c r="A420" s="68">
        <v>11</v>
      </c>
      <c r="B420" s="349">
        <f>'Client 11'!S38</f>
        <v>0</v>
      </c>
      <c r="C420" s="2">
        <f>'Client 11'!T38</f>
        <v>0</v>
      </c>
      <c r="D420" s="2">
        <f>'Client 11'!U38</f>
        <v>0</v>
      </c>
      <c r="E420" s="2">
        <f>'Client 11'!V38</f>
        <v>0</v>
      </c>
      <c r="F420" s="350">
        <f>'Client 11'!W38</f>
        <v>0</v>
      </c>
      <c r="G420" s="2">
        <f>'Client 11'!X38</f>
        <v>0</v>
      </c>
      <c r="H420" s="2">
        <f>'Client 11'!Y38</f>
        <v>0</v>
      </c>
      <c r="I420" s="2">
        <f>'Client 11'!Z38</f>
        <v>0</v>
      </c>
      <c r="J420" s="2">
        <f>'Client 11'!AA38</f>
        <v>0</v>
      </c>
      <c r="K420" s="2">
        <f>'Client 11'!AB38</f>
        <v>0</v>
      </c>
      <c r="L420" s="2" cm="1">
        <f t="array" aca="1" ref="L420" ca="1">IF(B420=0,0,INDIRECT("MRN_"&amp;A420))</f>
        <v>0</v>
      </c>
      <c r="M420" s="2">
        <f t="shared" si="90"/>
        <v>0</v>
      </c>
      <c r="N420" s="2" t="str">
        <f t="shared" si="91"/>
        <v>No</v>
      </c>
      <c r="O420" s="2" t="str">
        <f t="shared" si="92"/>
        <v>No</v>
      </c>
      <c r="P420" s="2" t="str" cm="1">
        <f t="array" aca="1" ref="P420" ca="1">IF(OR(INDIRECT("MRN_"&amp;A420)="N/A",B420=0),"No","Yes")</f>
        <v>No</v>
      </c>
    </row>
    <row r="421" spans="1:16" x14ac:dyDescent="0.2">
      <c r="A421" s="68">
        <v>12</v>
      </c>
      <c r="B421" s="349">
        <f>'Client 12'!S9</f>
        <v>0</v>
      </c>
      <c r="C421" s="2">
        <f>'Client 12'!T9</f>
        <v>0</v>
      </c>
      <c r="D421" s="2">
        <f>'Client 12'!U9</f>
        <v>0</v>
      </c>
      <c r="E421" s="2">
        <f>'Client 12'!V9</f>
        <v>0</v>
      </c>
      <c r="F421" s="350">
        <f>'Client 12'!W9</f>
        <v>0</v>
      </c>
      <c r="G421" s="2">
        <f>'Client 12'!X9</f>
        <v>0</v>
      </c>
      <c r="H421" s="2">
        <f>'Client 12'!Y9</f>
        <v>0</v>
      </c>
      <c r="I421" s="2">
        <f>'Client 12'!Z9</f>
        <v>0</v>
      </c>
      <c r="J421" s="2">
        <f>'Client 12'!AA9</f>
        <v>0</v>
      </c>
      <c r="K421" s="2">
        <f>'Client 12'!AB9</f>
        <v>0</v>
      </c>
      <c r="L421" s="2" cm="1">
        <f t="array" aca="1" ref="L421" ca="1">IF(B421=0,0,INDIRECT("MRN_"&amp;A421))</f>
        <v>0</v>
      </c>
      <c r="M421" s="2">
        <f t="shared" si="90"/>
        <v>0</v>
      </c>
      <c r="N421" s="2" t="str">
        <f t="shared" si="91"/>
        <v>No</v>
      </c>
      <c r="O421" s="2" t="str">
        <f t="shared" si="92"/>
        <v>No</v>
      </c>
      <c r="P421" s="2" t="str" cm="1">
        <f t="array" aca="1" ref="P421" ca="1">IF(OR(INDIRECT("MRN_"&amp;A421)="N/A",B421=0),"No","Yes")</f>
        <v>No</v>
      </c>
    </row>
    <row r="422" spans="1:16" x14ac:dyDescent="0.2">
      <c r="A422" s="68">
        <v>12</v>
      </c>
      <c r="B422" s="349">
        <f>'Client 12'!S10</f>
        <v>0</v>
      </c>
      <c r="C422" s="2">
        <f>'Client 12'!T10</f>
        <v>0</v>
      </c>
      <c r="D422" s="2">
        <f>'Client 12'!U10</f>
        <v>0</v>
      </c>
      <c r="E422" s="2">
        <f>'Client 12'!V10</f>
        <v>0</v>
      </c>
      <c r="F422" s="350">
        <f>'Client 12'!W10</f>
        <v>0</v>
      </c>
      <c r="G422" s="2">
        <f>'Client 12'!X10</f>
        <v>0</v>
      </c>
      <c r="H422" s="2">
        <f>'Client 12'!Y10</f>
        <v>0</v>
      </c>
      <c r="I422" s="2">
        <f>'Client 12'!Z10</f>
        <v>0</v>
      </c>
      <c r="J422" s="2">
        <f>'Client 12'!AA10</f>
        <v>0</v>
      </c>
      <c r="K422" s="2">
        <f>'Client 12'!AB10</f>
        <v>0</v>
      </c>
      <c r="L422" s="2" cm="1">
        <f t="array" aca="1" ref="L422" ca="1">IF(B422=0,0,INDIRECT("MRN_"&amp;A422))</f>
        <v>0</v>
      </c>
      <c r="M422" s="2">
        <f t="shared" si="90"/>
        <v>0</v>
      </c>
      <c r="N422" s="2" t="str">
        <f t="shared" si="91"/>
        <v>No</v>
      </c>
      <c r="O422" s="2" t="str">
        <f t="shared" si="92"/>
        <v>No</v>
      </c>
      <c r="P422" s="2" t="str" cm="1">
        <f t="array" aca="1" ref="P422" ca="1">IF(OR(INDIRECT("MRN_"&amp;A422)="N/A",B422=0),"No","Yes")</f>
        <v>No</v>
      </c>
    </row>
    <row r="423" spans="1:16" x14ac:dyDescent="0.2">
      <c r="A423" s="68">
        <v>12</v>
      </c>
      <c r="B423" s="349">
        <f>'Client 12'!S11</f>
        <v>0</v>
      </c>
      <c r="C423" s="2">
        <f>'Client 12'!T11</f>
        <v>0</v>
      </c>
      <c r="D423" s="2">
        <f>'Client 12'!U11</f>
        <v>0</v>
      </c>
      <c r="E423" s="2">
        <f>'Client 12'!V11</f>
        <v>0</v>
      </c>
      <c r="F423" s="350">
        <f>'Client 12'!W11</f>
        <v>0</v>
      </c>
      <c r="G423" s="2">
        <f>'Client 12'!X11</f>
        <v>0</v>
      </c>
      <c r="H423" s="2">
        <f>'Client 12'!Y11</f>
        <v>0</v>
      </c>
      <c r="I423" s="2">
        <f>'Client 12'!Z11</f>
        <v>0</v>
      </c>
      <c r="J423" s="2">
        <f>'Client 12'!AA11</f>
        <v>0</v>
      </c>
      <c r="K423" s="2">
        <f>'Client 12'!AB11</f>
        <v>0</v>
      </c>
      <c r="L423" s="2" cm="1">
        <f t="array" aca="1" ref="L423" ca="1">IF(B423=0,0,INDIRECT("MRN_"&amp;A423))</f>
        <v>0</v>
      </c>
      <c r="M423" s="2">
        <f t="shared" si="90"/>
        <v>0</v>
      </c>
      <c r="N423" s="2" t="str">
        <f t="shared" si="91"/>
        <v>No</v>
      </c>
      <c r="O423" s="2" t="str">
        <f t="shared" si="92"/>
        <v>No</v>
      </c>
      <c r="P423" s="2" t="str" cm="1">
        <f t="array" aca="1" ref="P423" ca="1">IF(OR(INDIRECT("MRN_"&amp;A423)="N/A",B423=0),"No","Yes")</f>
        <v>No</v>
      </c>
    </row>
    <row r="424" spans="1:16" x14ac:dyDescent="0.2">
      <c r="A424" s="68">
        <v>12</v>
      </c>
      <c r="B424" s="349">
        <f>'Client 12'!S12</f>
        <v>0</v>
      </c>
      <c r="C424" s="2">
        <f>'Client 12'!T12</f>
        <v>0</v>
      </c>
      <c r="D424" s="2">
        <f>'Client 12'!U12</f>
        <v>0</v>
      </c>
      <c r="E424" s="2">
        <f>'Client 12'!V12</f>
        <v>0</v>
      </c>
      <c r="F424" s="350">
        <f>'Client 12'!W12</f>
        <v>0</v>
      </c>
      <c r="G424" s="2">
        <f>'Client 12'!X12</f>
        <v>0</v>
      </c>
      <c r="H424" s="2">
        <f>'Client 12'!Y12</f>
        <v>0</v>
      </c>
      <c r="I424" s="2">
        <f>'Client 12'!Z12</f>
        <v>0</v>
      </c>
      <c r="J424" s="2">
        <f>'Client 12'!AA12</f>
        <v>0</v>
      </c>
      <c r="K424" s="2">
        <f>'Client 12'!AB12</f>
        <v>0</v>
      </c>
      <c r="L424" s="2" cm="1">
        <f t="array" aca="1" ref="L424" ca="1">IF(B424=0,0,INDIRECT("MRN_"&amp;A424))</f>
        <v>0</v>
      </c>
      <c r="M424" s="2">
        <f t="shared" si="90"/>
        <v>0</v>
      </c>
      <c r="N424" s="2" t="str">
        <f t="shared" si="91"/>
        <v>No</v>
      </c>
      <c r="O424" s="2" t="str">
        <f t="shared" si="92"/>
        <v>No</v>
      </c>
      <c r="P424" s="2" t="str" cm="1">
        <f t="array" aca="1" ref="P424" ca="1">IF(OR(INDIRECT("MRN_"&amp;A424)="N/A",B424=0),"No","Yes")</f>
        <v>No</v>
      </c>
    </row>
    <row r="425" spans="1:16" x14ac:dyDescent="0.2">
      <c r="A425" s="68">
        <v>12</v>
      </c>
      <c r="B425" s="349">
        <f>'Client 12'!S13</f>
        <v>0</v>
      </c>
      <c r="C425" s="2">
        <f>'Client 12'!T13</f>
        <v>0</v>
      </c>
      <c r="D425" s="2">
        <f>'Client 12'!U13</f>
        <v>0</v>
      </c>
      <c r="E425" s="2">
        <f>'Client 12'!V13</f>
        <v>0</v>
      </c>
      <c r="F425" s="350">
        <f>'Client 12'!W13</f>
        <v>0</v>
      </c>
      <c r="G425" s="2">
        <f>'Client 12'!X13</f>
        <v>0</v>
      </c>
      <c r="H425" s="2">
        <f>'Client 12'!Y13</f>
        <v>0</v>
      </c>
      <c r="I425" s="2">
        <f>'Client 12'!Z13</f>
        <v>0</v>
      </c>
      <c r="J425" s="2">
        <f>'Client 12'!AA13</f>
        <v>0</v>
      </c>
      <c r="K425" s="2">
        <f>'Client 12'!AB13</f>
        <v>0</v>
      </c>
      <c r="L425" s="2" cm="1">
        <f t="array" aca="1" ref="L425" ca="1">IF(B425=0,0,INDIRECT("MRN_"&amp;A425))</f>
        <v>0</v>
      </c>
      <c r="M425" s="2">
        <f t="shared" si="90"/>
        <v>0</v>
      </c>
      <c r="N425" s="2" t="str">
        <f t="shared" si="91"/>
        <v>No</v>
      </c>
      <c r="O425" s="2" t="str">
        <f t="shared" si="92"/>
        <v>No</v>
      </c>
      <c r="P425" s="2" t="str" cm="1">
        <f t="array" aca="1" ref="P425" ca="1">IF(OR(INDIRECT("MRN_"&amp;A425)="N/A",B425=0),"No","Yes")</f>
        <v>No</v>
      </c>
    </row>
    <row r="426" spans="1:16" x14ac:dyDescent="0.2">
      <c r="A426" s="68">
        <v>12</v>
      </c>
      <c r="B426" s="349">
        <f>'Client 12'!S14</f>
        <v>0</v>
      </c>
      <c r="C426" s="2">
        <f>'Client 12'!T14</f>
        <v>0</v>
      </c>
      <c r="D426" s="2">
        <f>'Client 12'!U14</f>
        <v>0</v>
      </c>
      <c r="E426" s="2">
        <f>'Client 12'!V14</f>
        <v>0</v>
      </c>
      <c r="F426" s="350">
        <f>'Client 12'!W14</f>
        <v>0</v>
      </c>
      <c r="G426" s="2">
        <f>'Client 12'!X14</f>
        <v>0</v>
      </c>
      <c r="H426" s="2">
        <f>'Client 12'!Y14</f>
        <v>0</v>
      </c>
      <c r="I426" s="2">
        <f>'Client 12'!Z14</f>
        <v>0</v>
      </c>
      <c r="J426" s="2">
        <f>'Client 12'!AA14</f>
        <v>0</v>
      </c>
      <c r="K426" s="2">
        <f>'Client 12'!AB14</f>
        <v>0</v>
      </c>
      <c r="L426" s="2" cm="1">
        <f t="array" aca="1" ref="L426" ca="1">IF(B426=0,0,INDIRECT("MRN_"&amp;A426))</f>
        <v>0</v>
      </c>
      <c r="M426" s="2">
        <f t="shared" si="90"/>
        <v>0</v>
      </c>
      <c r="N426" s="2" t="str">
        <f t="shared" si="91"/>
        <v>No</v>
      </c>
      <c r="O426" s="2" t="str">
        <f t="shared" si="92"/>
        <v>No</v>
      </c>
      <c r="P426" s="2" t="str" cm="1">
        <f t="array" aca="1" ref="P426" ca="1">IF(OR(INDIRECT("MRN_"&amp;A426)="N/A",B426=0),"No","Yes")</f>
        <v>No</v>
      </c>
    </row>
    <row r="427" spans="1:16" x14ac:dyDescent="0.2">
      <c r="A427" s="68">
        <v>12</v>
      </c>
      <c r="B427" s="349">
        <f>'Client 12'!S15</f>
        <v>0</v>
      </c>
      <c r="C427" s="2">
        <f>'Client 12'!T15</f>
        <v>0</v>
      </c>
      <c r="D427" s="2">
        <f>'Client 12'!U15</f>
        <v>0</v>
      </c>
      <c r="E427" s="2">
        <f>'Client 12'!V15</f>
        <v>0</v>
      </c>
      <c r="F427" s="350">
        <f>'Client 12'!W15</f>
        <v>0</v>
      </c>
      <c r="G427" s="2">
        <f>'Client 12'!X15</f>
        <v>0</v>
      </c>
      <c r="H427" s="2">
        <f>'Client 12'!Y15</f>
        <v>0</v>
      </c>
      <c r="I427" s="2">
        <f>'Client 12'!Z15</f>
        <v>0</v>
      </c>
      <c r="J427" s="2">
        <f>'Client 12'!AA15</f>
        <v>0</v>
      </c>
      <c r="K427" s="2">
        <f>'Client 12'!AB15</f>
        <v>0</v>
      </c>
      <c r="L427" s="2" cm="1">
        <f t="array" aca="1" ref="L427" ca="1">IF(B427=0,0,INDIRECT("MRN_"&amp;A427))</f>
        <v>0</v>
      </c>
      <c r="M427" s="2">
        <f t="shared" si="90"/>
        <v>0</v>
      </c>
      <c r="N427" s="2" t="str">
        <f t="shared" si="91"/>
        <v>No</v>
      </c>
      <c r="O427" s="2" t="str">
        <f t="shared" si="92"/>
        <v>No</v>
      </c>
      <c r="P427" s="2" t="str" cm="1">
        <f t="array" aca="1" ref="P427" ca="1">IF(OR(INDIRECT("MRN_"&amp;A427)="N/A",B427=0),"No","Yes")</f>
        <v>No</v>
      </c>
    </row>
    <row r="428" spans="1:16" x14ac:dyDescent="0.2">
      <c r="A428" s="68">
        <v>12</v>
      </c>
      <c r="B428" s="349">
        <f>'Client 12'!S16</f>
        <v>0</v>
      </c>
      <c r="C428" s="2">
        <f>'Client 12'!T16</f>
        <v>0</v>
      </c>
      <c r="D428" s="2">
        <f>'Client 12'!U16</f>
        <v>0</v>
      </c>
      <c r="E428" s="2">
        <f>'Client 12'!V16</f>
        <v>0</v>
      </c>
      <c r="F428" s="350">
        <f>'Client 12'!W16</f>
        <v>0</v>
      </c>
      <c r="G428" s="2">
        <f>'Client 12'!X16</f>
        <v>0</v>
      </c>
      <c r="H428" s="2">
        <f>'Client 12'!Y16</f>
        <v>0</v>
      </c>
      <c r="I428" s="2">
        <f>'Client 12'!Z16</f>
        <v>0</v>
      </c>
      <c r="J428" s="2">
        <f>'Client 12'!AA16</f>
        <v>0</v>
      </c>
      <c r="K428" s="2">
        <f>'Client 12'!AB16</f>
        <v>0</v>
      </c>
      <c r="L428" s="2" cm="1">
        <f t="array" aca="1" ref="L428" ca="1">IF(B428=0,0,INDIRECT("MRN_"&amp;A428))</f>
        <v>0</v>
      </c>
      <c r="M428" s="2">
        <f t="shared" si="90"/>
        <v>0</v>
      </c>
      <c r="N428" s="2" t="str">
        <f t="shared" si="91"/>
        <v>No</v>
      </c>
      <c r="O428" s="2" t="str">
        <f t="shared" si="92"/>
        <v>No</v>
      </c>
      <c r="P428" s="2" t="str" cm="1">
        <f t="array" aca="1" ref="P428" ca="1">IF(OR(INDIRECT("MRN_"&amp;A428)="N/A",B428=0),"No","Yes")</f>
        <v>No</v>
      </c>
    </row>
    <row r="429" spans="1:16" x14ac:dyDescent="0.2">
      <c r="A429" s="68">
        <v>12</v>
      </c>
      <c r="B429" s="349">
        <f>'Client 12'!S17</f>
        <v>0</v>
      </c>
      <c r="C429" s="2">
        <f>'Client 12'!T17</f>
        <v>0</v>
      </c>
      <c r="D429" s="2">
        <f>'Client 12'!U17</f>
        <v>0</v>
      </c>
      <c r="E429" s="2">
        <f>'Client 12'!V17</f>
        <v>0</v>
      </c>
      <c r="F429" s="350">
        <f>'Client 12'!W17</f>
        <v>0</v>
      </c>
      <c r="G429" s="2">
        <f>'Client 12'!X17</f>
        <v>0</v>
      </c>
      <c r="H429" s="2">
        <f>'Client 12'!Y17</f>
        <v>0</v>
      </c>
      <c r="I429" s="2">
        <f>'Client 12'!Z17</f>
        <v>0</v>
      </c>
      <c r="J429" s="2">
        <f>'Client 12'!AA17</f>
        <v>0</v>
      </c>
      <c r="K429" s="2">
        <f>'Client 12'!AB17</f>
        <v>0</v>
      </c>
      <c r="L429" s="2" cm="1">
        <f t="array" aca="1" ref="L429" ca="1">IF(B429=0,0,INDIRECT("MRN_"&amp;A429))</f>
        <v>0</v>
      </c>
      <c r="M429" s="2">
        <f t="shared" si="90"/>
        <v>0</v>
      </c>
      <c r="N429" s="2" t="str">
        <f t="shared" si="91"/>
        <v>No</v>
      </c>
      <c r="O429" s="2" t="str">
        <f t="shared" si="92"/>
        <v>No</v>
      </c>
      <c r="P429" s="2" t="str" cm="1">
        <f t="array" aca="1" ref="P429" ca="1">IF(OR(INDIRECT("MRN_"&amp;A429)="N/A",B429=0),"No","Yes")</f>
        <v>No</v>
      </c>
    </row>
    <row r="430" spans="1:16" x14ac:dyDescent="0.2">
      <c r="A430" s="68">
        <v>12</v>
      </c>
      <c r="B430" s="349">
        <f>'Client 12'!S18</f>
        <v>0</v>
      </c>
      <c r="C430" s="2">
        <f>'Client 12'!T18</f>
        <v>0</v>
      </c>
      <c r="D430" s="2">
        <f>'Client 12'!U18</f>
        <v>0</v>
      </c>
      <c r="E430" s="2">
        <f>'Client 12'!V18</f>
        <v>0</v>
      </c>
      <c r="F430" s="350">
        <f>'Client 12'!W18</f>
        <v>0</v>
      </c>
      <c r="G430" s="2">
        <f>'Client 12'!X18</f>
        <v>0</v>
      </c>
      <c r="H430" s="2">
        <f>'Client 12'!Y18</f>
        <v>0</v>
      </c>
      <c r="I430" s="2">
        <f>'Client 12'!Z18</f>
        <v>0</v>
      </c>
      <c r="J430" s="2">
        <f>'Client 12'!AA18</f>
        <v>0</v>
      </c>
      <c r="K430" s="2">
        <f>'Client 12'!AB18</f>
        <v>0</v>
      </c>
      <c r="L430" s="2" cm="1">
        <f t="array" aca="1" ref="L430" ca="1">IF(B430=0,0,INDIRECT("MRN_"&amp;A430))</f>
        <v>0</v>
      </c>
      <c r="M430" s="2">
        <f t="shared" si="90"/>
        <v>0</v>
      </c>
      <c r="N430" s="2" t="str">
        <f t="shared" si="91"/>
        <v>No</v>
      </c>
      <c r="O430" s="2" t="str">
        <f t="shared" si="92"/>
        <v>No</v>
      </c>
      <c r="P430" s="2" t="str" cm="1">
        <f t="array" aca="1" ref="P430" ca="1">IF(OR(INDIRECT("MRN_"&amp;A430)="N/A",B430=0),"No","Yes")</f>
        <v>No</v>
      </c>
    </row>
    <row r="431" spans="1:16" x14ac:dyDescent="0.2">
      <c r="A431" s="68">
        <v>12</v>
      </c>
      <c r="B431" s="349">
        <f>'Client 12'!S19</f>
        <v>0</v>
      </c>
      <c r="C431" s="2">
        <f>'Client 12'!T19</f>
        <v>0</v>
      </c>
      <c r="D431" s="2">
        <f>'Client 12'!U19</f>
        <v>0</v>
      </c>
      <c r="E431" s="2">
        <f>'Client 12'!V19</f>
        <v>0</v>
      </c>
      <c r="F431" s="350">
        <f>'Client 12'!W19</f>
        <v>0</v>
      </c>
      <c r="G431" s="2">
        <f>'Client 12'!X19</f>
        <v>0</v>
      </c>
      <c r="H431" s="2">
        <f>'Client 12'!Y19</f>
        <v>0</v>
      </c>
      <c r="I431" s="2">
        <f>'Client 12'!Z19</f>
        <v>0</v>
      </c>
      <c r="J431" s="2">
        <f>'Client 12'!AA19</f>
        <v>0</v>
      </c>
      <c r="K431" s="2">
        <f>'Client 12'!AB19</f>
        <v>0</v>
      </c>
      <c r="L431" s="2" cm="1">
        <f t="array" aca="1" ref="L431" ca="1">IF(B431=0,0,INDIRECT("MRN_"&amp;A431))</f>
        <v>0</v>
      </c>
      <c r="M431" s="2">
        <f t="shared" si="90"/>
        <v>0</v>
      </c>
      <c r="N431" s="2" t="str">
        <f t="shared" si="91"/>
        <v>No</v>
      </c>
      <c r="O431" s="2" t="str">
        <f t="shared" si="92"/>
        <v>No</v>
      </c>
      <c r="P431" s="2" t="str" cm="1">
        <f t="array" aca="1" ref="P431" ca="1">IF(OR(INDIRECT("MRN_"&amp;A431)="N/A",B431=0),"No","Yes")</f>
        <v>No</v>
      </c>
    </row>
    <row r="432" spans="1:16" x14ac:dyDescent="0.2">
      <c r="A432" s="68">
        <v>12</v>
      </c>
      <c r="B432" s="349">
        <f>'Client 12'!S20</f>
        <v>0</v>
      </c>
      <c r="C432" s="2">
        <f>'Client 12'!T20</f>
        <v>0</v>
      </c>
      <c r="D432" s="2">
        <f>'Client 12'!U20</f>
        <v>0</v>
      </c>
      <c r="E432" s="2">
        <f>'Client 12'!V20</f>
        <v>0</v>
      </c>
      <c r="F432" s="350">
        <f>'Client 12'!W20</f>
        <v>0</v>
      </c>
      <c r="G432" s="2">
        <f>'Client 12'!X20</f>
        <v>0</v>
      </c>
      <c r="H432" s="2">
        <f>'Client 12'!Y20</f>
        <v>0</v>
      </c>
      <c r="I432" s="2">
        <f>'Client 12'!Z20</f>
        <v>0</v>
      </c>
      <c r="J432" s="2">
        <f>'Client 12'!AA20</f>
        <v>0</v>
      </c>
      <c r="K432" s="2">
        <f>'Client 12'!AB20</f>
        <v>0</v>
      </c>
      <c r="L432" s="2" cm="1">
        <f t="array" aca="1" ref="L432" ca="1">IF(B432=0,0,INDIRECT("MRN_"&amp;A432))</f>
        <v>0</v>
      </c>
      <c r="M432" s="2">
        <f t="shared" si="90"/>
        <v>0</v>
      </c>
      <c r="N432" s="2" t="str">
        <f t="shared" si="91"/>
        <v>No</v>
      </c>
      <c r="O432" s="2" t="str">
        <f t="shared" si="92"/>
        <v>No</v>
      </c>
      <c r="P432" s="2" t="str" cm="1">
        <f t="array" aca="1" ref="P432" ca="1">IF(OR(INDIRECT("MRN_"&amp;A432)="N/A",B432=0),"No","Yes")</f>
        <v>No</v>
      </c>
    </row>
    <row r="433" spans="1:16" x14ac:dyDescent="0.2">
      <c r="A433" s="68">
        <v>12</v>
      </c>
      <c r="B433" s="349">
        <f>'Client 12'!S21</f>
        <v>0</v>
      </c>
      <c r="C433" s="2">
        <f>'Client 12'!T21</f>
        <v>0</v>
      </c>
      <c r="D433" s="2">
        <f>'Client 12'!U21</f>
        <v>0</v>
      </c>
      <c r="E433" s="2">
        <f>'Client 12'!V21</f>
        <v>0</v>
      </c>
      <c r="F433" s="350">
        <f>'Client 12'!W21</f>
        <v>0</v>
      </c>
      <c r="G433" s="2">
        <f>'Client 12'!X21</f>
        <v>0</v>
      </c>
      <c r="H433" s="2">
        <f>'Client 12'!Y21</f>
        <v>0</v>
      </c>
      <c r="I433" s="2">
        <f>'Client 12'!Z21</f>
        <v>0</v>
      </c>
      <c r="J433" s="2">
        <f>'Client 12'!AA21</f>
        <v>0</v>
      </c>
      <c r="K433" s="2">
        <f>'Client 12'!AB21</f>
        <v>0</v>
      </c>
      <c r="L433" s="2" cm="1">
        <f t="array" aca="1" ref="L433" ca="1">IF(B433=0,0,INDIRECT("MRN_"&amp;A433))</f>
        <v>0</v>
      </c>
      <c r="M433" s="2">
        <f t="shared" si="90"/>
        <v>0</v>
      </c>
      <c r="N433" s="2" t="str">
        <f t="shared" si="91"/>
        <v>No</v>
      </c>
      <c r="O433" s="2" t="str">
        <f t="shared" si="92"/>
        <v>No</v>
      </c>
      <c r="P433" s="2" t="str" cm="1">
        <f t="array" aca="1" ref="P433" ca="1">IF(OR(INDIRECT("MRN_"&amp;A433)="N/A",B433=0),"No","Yes")</f>
        <v>No</v>
      </c>
    </row>
    <row r="434" spans="1:16" x14ac:dyDescent="0.2">
      <c r="A434" s="68">
        <v>12</v>
      </c>
      <c r="B434" s="349">
        <f>'Client 12'!S22</f>
        <v>0</v>
      </c>
      <c r="C434" s="2">
        <f>'Client 12'!T22</f>
        <v>0</v>
      </c>
      <c r="D434" s="2">
        <f>'Client 12'!U22</f>
        <v>0</v>
      </c>
      <c r="E434" s="2">
        <f>'Client 12'!V22</f>
        <v>0</v>
      </c>
      <c r="F434" s="350">
        <f>'Client 12'!W22</f>
        <v>0</v>
      </c>
      <c r="G434" s="2">
        <f>'Client 12'!X22</f>
        <v>0</v>
      </c>
      <c r="H434" s="2">
        <f>'Client 12'!Y22</f>
        <v>0</v>
      </c>
      <c r="I434" s="2">
        <f>'Client 12'!Z22</f>
        <v>0</v>
      </c>
      <c r="J434" s="2">
        <f>'Client 12'!AA22</f>
        <v>0</v>
      </c>
      <c r="K434" s="2">
        <f>'Client 12'!AB22</f>
        <v>0</v>
      </c>
      <c r="L434" s="2" cm="1">
        <f t="array" aca="1" ref="L434" ca="1">IF(B434=0,0,INDIRECT("MRN_"&amp;A434))</f>
        <v>0</v>
      </c>
      <c r="M434" s="2">
        <f t="shared" si="90"/>
        <v>0</v>
      </c>
      <c r="N434" s="2" t="str">
        <f t="shared" si="91"/>
        <v>No</v>
      </c>
      <c r="O434" s="2" t="str">
        <f t="shared" si="92"/>
        <v>No</v>
      </c>
      <c r="P434" s="2" t="str" cm="1">
        <f t="array" aca="1" ref="P434" ca="1">IF(OR(INDIRECT("MRN_"&amp;A434)="N/A",B434=0),"No","Yes")</f>
        <v>No</v>
      </c>
    </row>
    <row r="435" spans="1:16" x14ac:dyDescent="0.2">
      <c r="A435" s="68">
        <v>12</v>
      </c>
      <c r="B435" s="349">
        <f>'Client 12'!S23</f>
        <v>0</v>
      </c>
      <c r="C435" s="2">
        <f>'Client 12'!T23</f>
        <v>0</v>
      </c>
      <c r="D435" s="2">
        <f>'Client 12'!U23</f>
        <v>0</v>
      </c>
      <c r="E435" s="2">
        <f>'Client 12'!V23</f>
        <v>0</v>
      </c>
      <c r="F435" s="350">
        <f>'Client 12'!W23</f>
        <v>0</v>
      </c>
      <c r="G435" s="2">
        <f>'Client 12'!X23</f>
        <v>0</v>
      </c>
      <c r="H435" s="2">
        <f>'Client 12'!Y23</f>
        <v>0</v>
      </c>
      <c r="I435" s="2">
        <f>'Client 12'!Z23</f>
        <v>0</v>
      </c>
      <c r="J435" s="2">
        <f>'Client 12'!AA23</f>
        <v>0</v>
      </c>
      <c r="K435" s="2">
        <f>'Client 12'!AB23</f>
        <v>0</v>
      </c>
      <c r="L435" s="2" cm="1">
        <f t="array" aca="1" ref="L435" ca="1">IF(B435=0,0,INDIRECT("MRN_"&amp;A435))</f>
        <v>0</v>
      </c>
      <c r="M435" s="2">
        <f t="shared" si="90"/>
        <v>0</v>
      </c>
      <c r="N435" s="2" t="str">
        <f t="shared" si="91"/>
        <v>No</v>
      </c>
      <c r="O435" s="2" t="str">
        <f t="shared" si="92"/>
        <v>No</v>
      </c>
      <c r="P435" s="2" t="str" cm="1">
        <f t="array" aca="1" ref="P435" ca="1">IF(OR(INDIRECT("MRN_"&amp;A435)="N/A",B435=0),"No","Yes")</f>
        <v>No</v>
      </c>
    </row>
    <row r="436" spans="1:16" x14ac:dyDescent="0.2">
      <c r="A436" s="68">
        <v>12</v>
      </c>
      <c r="B436" s="349">
        <f>'Client 12'!S24</f>
        <v>0</v>
      </c>
      <c r="C436" s="2">
        <f>'Client 12'!T24</f>
        <v>0</v>
      </c>
      <c r="D436" s="2">
        <f>'Client 12'!U24</f>
        <v>0</v>
      </c>
      <c r="E436" s="2">
        <f>'Client 12'!V24</f>
        <v>0</v>
      </c>
      <c r="F436" s="350">
        <f>'Client 12'!W24</f>
        <v>0</v>
      </c>
      <c r="G436" s="2">
        <f>'Client 12'!X24</f>
        <v>0</v>
      </c>
      <c r="H436" s="2">
        <f>'Client 12'!Y24</f>
        <v>0</v>
      </c>
      <c r="I436" s="2">
        <f>'Client 12'!Z24</f>
        <v>0</v>
      </c>
      <c r="J436" s="2">
        <f>'Client 12'!AA24</f>
        <v>0</v>
      </c>
      <c r="K436" s="2">
        <f>'Client 12'!AB24</f>
        <v>0</v>
      </c>
      <c r="L436" s="2" cm="1">
        <f t="array" aca="1" ref="L436" ca="1">IF(B436=0,0,INDIRECT("MRN_"&amp;A436))</f>
        <v>0</v>
      </c>
      <c r="M436" s="2">
        <f t="shared" si="90"/>
        <v>0</v>
      </c>
      <c r="N436" s="2" t="str">
        <f t="shared" si="91"/>
        <v>No</v>
      </c>
      <c r="O436" s="2" t="str">
        <f t="shared" si="92"/>
        <v>No</v>
      </c>
      <c r="P436" s="2" t="str" cm="1">
        <f t="array" aca="1" ref="P436" ca="1">IF(OR(INDIRECT("MRN_"&amp;A436)="N/A",B436=0),"No","Yes")</f>
        <v>No</v>
      </c>
    </row>
    <row r="437" spans="1:16" x14ac:dyDescent="0.2">
      <c r="A437" s="68">
        <v>12</v>
      </c>
      <c r="B437" s="349">
        <f>'Client 12'!S25</f>
        <v>0</v>
      </c>
      <c r="C437" s="2">
        <f>'Client 12'!T25</f>
        <v>0</v>
      </c>
      <c r="D437" s="2">
        <f>'Client 12'!U25</f>
        <v>0</v>
      </c>
      <c r="E437" s="2">
        <f>'Client 12'!V25</f>
        <v>0</v>
      </c>
      <c r="F437" s="350">
        <f>'Client 12'!W25</f>
        <v>0</v>
      </c>
      <c r="G437" s="2">
        <f>'Client 12'!X25</f>
        <v>0</v>
      </c>
      <c r="H437" s="2">
        <f>'Client 12'!Y25</f>
        <v>0</v>
      </c>
      <c r="I437" s="2">
        <f>'Client 12'!Z25</f>
        <v>0</v>
      </c>
      <c r="J437" s="2">
        <f>'Client 12'!AA25</f>
        <v>0</v>
      </c>
      <c r="K437" s="2">
        <f>'Client 12'!AB25</f>
        <v>0</v>
      </c>
      <c r="L437" s="2" cm="1">
        <f t="array" aca="1" ref="L437" ca="1">IF(B437=0,0,INDIRECT("MRN_"&amp;A437))</f>
        <v>0</v>
      </c>
      <c r="M437" s="2">
        <f t="shared" si="90"/>
        <v>0</v>
      </c>
      <c r="N437" s="2" t="str">
        <f t="shared" si="91"/>
        <v>No</v>
      </c>
      <c r="O437" s="2" t="str">
        <f t="shared" si="92"/>
        <v>No</v>
      </c>
      <c r="P437" s="2" t="str" cm="1">
        <f t="array" aca="1" ref="P437" ca="1">IF(OR(INDIRECT("MRN_"&amp;A437)="N/A",B437=0),"No","Yes")</f>
        <v>No</v>
      </c>
    </row>
    <row r="438" spans="1:16" x14ac:dyDescent="0.2">
      <c r="A438" s="68">
        <v>12</v>
      </c>
      <c r="B438" s="349">
        <f>'Client 12'!S26</f>
        <v>0</v>
      </c>
      <c r="C438" s="2">
        <f>'Client 12'!T26</f>
        <v>0</v>
      </c>
      <c r="D438" s="2">
        <f>'Client 12'!U26</f>
        <v>0</v>
      </c>
      <c r="E438" s="2">
        <f>'Client 12'!V26</f>
        <v>0</v>
      </c>
      <c r="F438" s="350">
        <f>'Client 12'!W26</f>
        <v>0</v>
      </c>
      <c r="G438" s="2">
        <f>'Client 12'!X26</f>
        <v>0</v>
      </c>
      <c r="H438" s="2">
        <f>'Client 12'!Y26</f>
        <v>0</v>
      </c>
      <c r="I438" s="2">
        <f>'Client 12'!Z26</f>
        <v>0</v>
      </c>
      <c r="J438" s="2">
        <f>'Client 12'!AA26</f>
        <v>0</v>
      </c>
      <c r="K438" s="2">
        <f>'Client 12'!AB26</f>
        <v>0</v>
      </c>
      <c r="L438" s="2" cm="1">
        <f t="array" aca="1" ref="L438" ca="1">IF(B438=0,0,INDIRECT("MRN_"&amp;A438))</f>
        <v>0</v>
      </c>
      <c r="M438" s="2">
        <f t="shared" si="90"/>
        <v>0</v>
      </c>
      <c r="N438" s="2" t="str">
        <f t="shared" si="91"/>
        <v>No</v>
      </c>
      <c r="O438" s="2" t="str">
        <f t="shared" si="92"/>
        <v>No</v>
      </c>
      <c r="P438" s="2" t="str" cm="1">
        <f t="array" aca="1" ref="P438" ca="1">IF(OR(INDIRECT("MRN_"&amp;A438)="N/A",B438=0),"No","Yes")</f>
        <v>No</v>
      </c>
    </row>
    <row r="439" spans="1:16" x14ac:dyDescent="0.2">
      <c r="A439" s="68">
        <v>12</v>
      </c>
      <c r="B439" s="349">
        <f>'Client 12'!S27</f>
        <v>0</v>
      </c>
      <c r="C439" s="2">
        <f>'Client 12'!T27</f>
        <v>0</v>
      </c>
      <c r="D439" s="2">
        <f>'Client 12'!U27</f>
        <v>0</v>
      </c>
      <c r="E439" s="2">
        <f>'Client 12'!V27</f>
        <v>0</v>
      </c>
      <c r="F439" s="350">
        <f>'Client 12'!W27</f>
        <v>0</v>
      </c>
      <c r="G439" s="2">
        <f>'Client 12'!X27</f>
        <v>0</v>
      </c>
      <c r="H439" s="2">
        <f>'Client 12'!Y27</f>
        <v>0</v>
      </c>
      <c r="I439" s="2">
        <f>'Client 12'!Z27</f>
        <v>0</v>
      </c>
      <c r="J439" s="2">
        <f>'Client 12'!AA27</f>
        <v>0</v>
      </c>
      <c r="K439" s="2">
        <f>'Client 12'!AB27</f>
        <v>0</v>
      </c>
      <c r="L439" s="2" cm="1">
        <f t="array" aca="1" ref="L439" ca="1">IF(B439=0,0,INDIRECT("MRN_"&amp;A439))</f>
        <v>0</v>
      </c>
      <c r="M439" s="2">
        <f t="shared" si="90"/>
        <v>0</v>
      </c>
      <c r="N439" s="2" t="str">
        <f t="shared" si="91"/>
        <v>No</v>
      </c>
      <c r="O439" s="2" t="str">
        <f t="shared" si="92"/>
        <v>No</v>
      </c>
      <c r="P439" s="2" t="str" cm="1">
        <f t="array" aca="1" ref="P439" ca="1">IF(OR(INDIRECT("MRN_"&amp;A439)="N/A",B439=0),"No","Yes")</f>
        <v>No</v>
      </c>
    </row>
    <row r="440" spans="1:16" x14ac:dyDescent="0.2">
      <c r="A440" s="68">
        <v>12</v>
      </c>
      <c r="B440" s="349">
        <f>'Client 12'!S28</f>
        <v>0</v>
      </c>
      <c r="C440" s="2">
        <f>'Client 12'!T28</f>
        <v>0</v>
      </c>
      <c r="D440" s="2">
        <f>'Client 12'!U28</f>
        <v>0</v>
      </c>
      <c r="E440" s="2">
        <f>'Client 12'!V28</f>
        <v>0</v>
      </c>
      <c r="F440" s="350">
        <f>'Client 12'!W28</f>
        <v>0</v>
      </c>
      <c r="G440" s="2">
        <f>'Client 12'!X28</f>
        <v>0</v>
      </c>
      <c r="H440" s="2">
        <f>'Client 12'!Y28</f>
        <v>0</v>
      </c>
      <c r="I440" s="2">
        <f>'Client 12'!Z28</f>
        <v>0</v>
      </c>
      <c r="J440" s="2">
        <f>'Client 12'!AA28</f>
        <v>0</v>
      </c>
      <c r="K440" s="2">
        <f>'Client 12'!AB28</f>
        <v>0</v>
      </c>
      <c r="L440" s="2" cm="1">
        <f t="array" aca="1" ref="L440" ca="1">IF(B440=0,0,INDIRECT("MRN_"&amp;A440))</f>
        <v>0</v>
      </c>
      <c r="M440" s="2">
        <f t="shared" si="90"/>
        <v>0</v>
      </c>
      <c r="N440" s="2" t="str">
        <f t="shared" si="91"/>
        <v>No</v>
      </c>
      <c r="O440" s="2" t="str">
        <f t="shared" si="92"/>
        <v>No</v>
      </c>
      <c r="P440" s="2" t="str" cm="1">
        <f t="array" aca="1" ref="P440" ca="1">IF(OR(INDIRECT("MRN_"&amp;A440)="N/A",B440=0),"No","Yes")</f>
        <v>No</v>
      </c>
    </row>
    <row r="441" spans="1:16" x14ac:dyDescent="0.2">
      <c r="A441" s="68">
        <v>12</v>
      </c>
      <c r="B441" s="349">
        <f>'Client 12'!S29</f>
        <v>0</v>
      </c>
      <c r="C441" s="2">
        <f>'Client 12'!T29</f>
        <v>0</v>
      </c>
      <c r="D441" s="2">
        <f>'Client 12'!U29</f>
        <v>0</v>
      </c>
      <c r="E441" s="2">
        <f>'Client 12'!V29</f>
        <v>0</v>
      </c>
      <c r="F441" s="350">
        <f>'Client 12'!W29</f>
        <v>0</v>
      </c>
      <c r="G441" s="2">
        <f>'Client 12'!X29</f>
        <v>0</v>
      </c>
      <c r="H441" s="2">
        <f>'Client 12'!Y29</f>
        <v>0</v>
      </c>
      <c r="I441" s="2">
        <f>'Client 12'!Z29</f>
        <v>0</v>
      </c>
      <c r="J441" s="2">
        <f>'Client 12'!AA29</f>
        <v>0</v>
      </c>
      <c r="K441" s="2">
        <f>'Client 12'!AB29</f>
        <v>0</v>
      </c>
      <c r="L441" s="2" cm="1">
        <f t="array" aca="1" ref="L441" ca="1">IF(B441=0,0,INDIRECT("MRN_"&amp;A441))</f>
        <v>0</v>
      </c>
      <c r="M441" s="2">
        <f t="shared" si="90"/>
        <v>0</v>
      </c>
      <c r="N441" s="2" t="str">
        <f t="shared" si="91"/>
        <v>No</v>
      </c>
      <c r="O441" s="2" t="str">
        <f t="shared" si="92"/>
        <v>No</v>
      </c>
      <c r="P441" s="2" t="str" cm="1">
        <f t="array" aca="1" ref="P441" ca="1">IF(OR(INDIRECT("MRN_"&amp;A441)="N/A",B441=0),"No","Yes")</f>
        <v>No</v>
      </c>
    </row>
    <row r="442" spans="1:16" x14ac:dyDescent="0.2">
      <c r="A442" s="68">
        <v>12</v>
      </c>
      <c r="B442" s="349">
        <f>'Client 12'!S30</f>
        <v>0</v>
      </c>
      <c r="C442" s="2">
        <f>'Client 12'!T30</f>
        <v>0</v>
      </c>
      <c r="D442" s="2">
        <f>'Client 12'!U30</f>
        <v>0</v>
      </c>
      <c r="E442" s="2">
        <f>'Client 12'!V30</f>
        <v>0</v>
      </c>
      <c r="F442" s="350">
        <f>'Client 12'!W30</f>
        <v>0</v>
      </c>
      <c r="G442" s="2">
        <f>'Client 12'!X30</f>
        <v>0</v>
      </c>
      <c r="H442" s="2">
        <f>'Client 12'!Y30</f>
        <v>0</v>
      </c>
      <c r="I442" s="2">
        <f>'Client 12'!Z30</f>
        <v>0</v>
      </c>
      <c r="J442" s="2">
        <f>'Client 12'!AA30</f>
        <v>0</v>
      </c>
      <c r="K442" s="2">
        <f>'Client 12'!AB30</f>
        <v>0</v>
      </c>
      <c r="L442" s="2" cm="1">
        <f t="array" aca="1" ref="L442" ca="1">IF(B442=0,0,INDIRECT("MRN_"&amp;A442))</f>
        <v>0</v>
      </c>
      <c r="M442" s="2">
        <f t="shared" si="90"/>
        <v>0</v>
      </c>
      <c r="N442" s="2" t="str">
        <f t="shared" si="91"/>
        <v>No</v>
      </c>
      <c r="O442" s="2" t="str">
        <f t="shared" si="92"/>
        <v>No</v>
      </c>
      <c r="P442" s="2" t="str" cm="1">
        <f t="array" aca="1" ref="P442" ca="1">IF(OR(INDIRECT("MRN_"&amp;A442)="N/A",B442=0),"No","Yes")</f>
        <v>No</v>
      </c>
    </row>
    <row r="443" spans="1:16" x14ac:dyDescent="0.2">
      <c r="A443" s="68">
        <v>12</v>
      </c>
      <c r="B443" s="349">
        <f>'Client 12'!S31</f>
        <v>0</v>
      </c>
      <c r="C443" s="2">
        <f>'Client 12'!T31</f>
        <v>0</v>
      </c>
      <c r="D443" s="2">
        <f>'Client 12'!U31</f>
        <v>0</v>
      </c>
      <c r="E443" s="2">
        <f>'Client 12'!V31</f>
        <v>0</v>
      </c>
      <c r="F443" s="350">
        <f>'Client 12'!W31</f>
        <v>0</v>
      </c>
      <c r="G443" s="2">
        <f>'Client 12'!X31</f>
        <v>0</v>
      </c>
      <c r="H443" s="2">
        <f>'Client 12'!Y31</f>
        <v>0</v>
      </c>
      <c r="I443" s="2">
        <f>'Client 12'!Z31</f>
        <v>0</v>
      </c>
      <c r="J443" s="2">
        <f>'Client 12'!AA31</f>
        <v>0</v>
      </c>
      <c r="K443" s="2">
        <f>'Client 12'!AB31</f>
        <v>0</v>
      </c>
      <c r="L443" s="2" cm="1">
        <f t="array" aca="1" ref="L443" ca="1">IF(B443=0,0,INDIRECT("MRN_"&amp;A443))</f>
        <v>0</v>
      </c>
      <c r="M443" s="2">
        <f t="shared" si="90"/>
        <v>0</v>
      </c>
      <c r="N443" s="2" t="str">
        <f t="shared" si="91"/>
        <v>No</v>
      </c>
      <c r="O443" s="2" t="str">
        <f t="shared" si="92"/>
        <v>No</v>
      </c>
      <c r="P443" s="2" t="str" cm="1">
        <f t="array" aca="1" ref="P443" ca="1">IF(OR(INDIRECT("MRN_"&amp;A443)="N/A",B443=0),"No","Yes")</f>
        <v>No</v>
      </c>
    </row>
    <row r="444" spans="1:16" x14ac:dyDescent="0.2">
      <c r="A444" s="68">
        <v>12</v>
      </c>
      <c r="B444" s="349">
        <f>'Client 12'!S32</f>
        <v>0</v>
      </c>
      <c r="C444" s="2">
        <f>'Client 12'!T32</f>
        <v>0</v>
      </c>
      <c r="D444" s="2">
        <f>'Client 12'!U32</f>
        <v>0</v>
      </c>
      <c r="E444" s="2">
        <f>'Client 12'!V32</f>
        <v>0</v>
      </c>
      <c r="F444" s="350">
        <f>'Client 12'!W32</f>
        <v>0</v>
      </c>
      <c r="G444" s="2">
        <f>'Client 12'!X32</f>
        <v>0</v>
      </c>
      <c r="H444" s="2">
        <f>'Client 12'!Y32</f>
        <v>0</v>
      </c>
      <c r="I444" s="2">
        <f>'Client 12'!Z32</f>
        <v>0</v>
      </c>
      <c r="J444" s="2">
        <f>'Client 12'!AA32</f>
        <v>0</v>
      </c>
      <c r="K444" s="2">
        <f>'Client 12'!AB32</f>
        <v>0</v>
      </c>
      <c r="L444" s="2" cm="1">
        <f t="array" aca="1" ref="L444" ca="1">IF(B444=0,0,INDIRECT("MRN_"&amp;A444))</f>
        <v>0</v>
      </c>
      <c r="M444" s="2">
        <f t="shared" si="90"/>
        <v>0</v>
      </c>
      <c r="N444" s="2" t="str">
        <f t="shared" si="91"/>
        <v>No</v>
      </c>
      <c r="O444" s="2" t="str">
        <f t="shared" si="92"/>
        <v>No</v>
      </c>
      <c r="P444" s="2" t="str" cm="1">
        <f t="array" aca="1" ref="P444" ca="1">IF(OR(INDIRECT("MRN_"&amp;A444)="N/A",B444=0),"No","Yes")</f>
        <v>No</v>
      </c>
    </row>
    <row r="445" spans="1:16" x14ac:dyDescent="0.2">
      <c r="A445" s="68">
        <v>12</v>
      </c>
      <c r="B445" s="349">
        <f>'Client 12'!S33</f>
        <v>0</v>
      </c>
      <c r="C445" s="2">
        <f>'Client 12'!T33</f>
        <v>0</v>
      </c>
      <c r="D445" s="2">
        <f>'Client 12'!U33</f>
        <v>0</v>
      </c>
      <c r="E445" s="2">
        <f>'Client 12'!V33</f>
        <v>0</v>
      </c>
      <c r="F445" s="350">
        <f>'Client 12'!W33</f>
        <v>0</v>
      </c>
      <c r="G445" s="2">
        <f>'Client 12'!X33</f>
        <v>0</v>
      </c>
      <c r="H445" s="2">
        <f>'Client 12'!Y33</f>
        <v>0</v>
      </c>
      <c r="I445" s="2">
        <f>'Client 12'!Z33</f>
        <v>0</v>
      </c>
      <c r="J445" s="2">
        <f>'Client 12'!AA33</f>
        <v>0</v>
      </c>
      <c r="K445" s="2">
        <f>'Client 12'!AB33</f>
        <v>0</v>
      </c>
      <c r="L445" s="2" cm="1">
        <f t="array" aca="1" ref="L445" ca="1">IF(B445=0,0,INDIRECT("MRN_"&amp;A445))</f>
        <v>0</v>
      </c>
      <c r="M445" s="2">
        <f t="shared" si="90"/>
        <v>0</v>
      </c>
      <c r="N445" s="2" t="str">
        <f t="shared" si="91"/>
        <v>No</v>
      </c>
      <c r="O445" s="2" t="str">
        <f t="shared" si="92"/>
        <v>No</v>
      </c>
      <c r="P445" s="2" t="str" cm="1">
        <f t="array" aca="1" ref="P445" ca="1">IF(OR(INDIRECT("MRN_"&amp;A445)="N/A",B445=0),"No","Yes")</f>
        <v>No</v>
      </c>
    </row>
    <row r="446" spans="1:16" x14ac:dyDescent="0.2">
      <c r="A446" s="68">
        <v>12</v>
      </c>
      <c r="B446" s="349">
        <f>'Client 12'!S34</f>
        <v>0</v>
      </c>
      <c r="C446" s="2">
        <f>'Client 12'!T34</f>
        <v>0</v>
      </c>
      <c r="D446" s="2">
        <f>'Client 12'!U34</f>
        <v>0</v>
      </c>
      <c r="E446" s="2">
        <f>'Client 12'!V34</f>
        <v>0</v>
      </c>
      <c r="F446" s="350">
        <f>'Client 12'!W34</f>
        <v>0</v>
      </c>
      <c r="G446" s="2">
        <f>'Client 12'!X34</f>
        <v>0</v>
      </c>
      <c r="H446" s="2">
        <f>'Client 12'!Y34</f>
        <v>0</v>
      </c>
      <c r="I446" s="2">
        <f>'Client 12'!Z34</f>
        <v>0</v>
      </c>
      <c r="J446" s="2">
        <f>'Client 12'!AA34</f>
        <v>0</v>
      </c>
      <c r="K446" s="2">
        <f>'Client 12'!AB34</f>
        <v>0</v>
      </c>
      <c r="L446" s="2" cm="1">
        <f t="array" aca="1" ref="L446" ca="1">IF(B446=0,0,INDIRECT("MRN_"&amp;A446))</f>
        <v>0</v>
      </c>
      <c r="M446" s="2">
        <f t="shared" si="90"/>
        <v>0</v>
      </c>
      <c r="N446" s="2" t="str">
        <f t="shared" si="91"/>
        <v>No</v>
      </c>
      <c r="O446" s="2" t="str">
        <f t="shared" si="92"/>
        <v>No</v>
      </c>
      <c r="P446" s="2" t="str" cm="1">
        <f t="array" aca="1" ref="P446" ca="1">IF(OR(INDIRECT("MRN_"&amp;A446)="N/A",B446=0),"No","Yes")</f>
        <v>No</v>
      </c>
    </row>
    <row r="447" spans="1:16" x14ac:dyDescent="0.2">
      <c r="A447" s="68">
        <v>12</v>
      </c>
      <c r="B447" s="349">
        <f>'Client 12'!S35</f>
        <v>0</v>
      </c>
      <c r="C447" s="2">
        <f>'Client 12'!T35</f>
        <v>0</v>
      </c>
      <c r="D447" s="2">
        <f>'Client 12'!U35</f>
        <v>0</v>
      </c>
      <c r="E447" s="2">
        <f>'Client 12'!V35</f>
        <v>0</v>
      </c>
      <c r="F447" s="350">
        <f>'Client 12'!W35</f>
        <v>0</v>
      </c>
      <c r="G447" s="2">
        <f>'Client 12'!X35</f>
        <v>0</v>
      </c>
      <c r="H447" s="2">
        <f>'Client 12'!Y35</f>
        <v>0</v>
      </c>
      <c r="I447" s="2">
        <f>'Client 12'!Z35</f>
        <v>0</v>
      </c>
      <c r="J447" s="2">
        <f>'Client 12'!AA35</f>
        <v>0</v>
      </c>
      <c r="K447" s="2">
        <f>'Client 12'!AB35</f>
        <v>0</v>
      </c>
      <c r="L447" s="2" cm="1">
        <f t="array" aca="1" ref="L447" ca="1">IF(B447=0,0,INDIRECT("MRN_"&amp;A447))</f>
        <v>0</v>
      </c>
      <c r="M447" s="2">
        <f t="shared" si="90"/>
        <v>0</v>
      </c>
      <c r="N447" s="2" t="str">
        <f t="shared" si="91"/>
        <v>No</v>
      </c>
      <c r="O447" s="2" t="str">
        <f t="shared" si="92"/>
        <v>No</v>
      </c>
      <c r="P447" s="2" t="str" cm="1">
        <f t="array" aca="1" ref="P447" ca="1">IF(OR(INDIRECT("MRN_"&amp;A447)="N/A",B447=0),"No","Yes")</f>
        <v>No</v>
      </c>
    </row>
    <row r="448" spans="1:16" x14ac:dyDescent="0.2">
      <c r="A448" s="68">
        <v>12</v>
      </c>
      <c r="B448" s="349">
        <f>'Client 12'!S36</f>
        <v>0</v>
      </c>
      <c r="C448" s="2">
        <f>'Client 12'!T36</f>
        <v>0</v>
      </c>
      <c r="D448" s="2">
        <f>'Client 12'!U36</f>
        <v>0</v>
      </c>
      <c r="E448" s="2">
        <f>'Client 12'!V36</f>
        <v>0</v>
      </c>
      <c r="F448" s="350">
        <f>'Client 12'!W36</f>
        <v>0</v>
      </c>
      <c r="G448" s="2">
        <f>'Client 12'!X36</f>
        <v>0</v>
      </c>
      <c r="H448" s="2">
        <f>'Client 12'!Y36</f>
        <v>0</v>
      </c>
      <c r="I448" s="2">
        <f>'Client 12'!Z36</f>
        <v>0</v>
      </c>
      <c r="J448" s="2">
        <f>'Client 12'!AA36</f>
        <v>0</v>
      </c>
      <c r="K448" s="2">
        <f>'Client 12'!AB36</f>
        <v>0</v>
      </c>
      <c r="L448" s="2" cm="1">
        <f t="array" aca="1" ref="L448" ca="1">IF(B448=0,0,INDIRECT("MRN_"&amp;A448))</f>
        <v>0</v>
      </c>
      <c r="M448" s="2">
        <f t="shared" si="90"/>
        <v>0</v>
      </c>
      <c r="N448" s="2" t="str">
        <f t="shared" si="91"/>
        <v>No</v>
      </c>
      <c r="O448" s="2" t="str">
        <f t="shared" si="92"/>
        <v>No</v>
      </c>
      <c r="P448" s="2" t="str" cm="1">
        <f t="array" aca="1" ref="P448" ca="1">IF(OR(INDIRECT("MRN_"&amp;A448)="N/A",B448=0),"No","Yes")</f>
        <v>No</v>
      </c>
    </row>
    <row r="449" spans="1:16" x14ac:dyDescent="0.2">
      <c r="A449" s="68">
        <v>12</v>
      </c>
      <c r="B449" s="349">
        <f>'Client 12'!S37</f>
        <v>0</v>
      </c>
      <c r="C449" s="2">
        <f>'Client 12'!T37</f>
        <v>0</v>
      </c>
      <c r="D449" s="2">
        <f>'Client 12'!U37</f>
        <v>0</v>
      </c>
      <c r="E449" s="2">
        <f>'Client 12'!V37</f>
        <v>0</v>
      </c>
      <c r="F449" s="350">
        <f>'Client 12'!W37</f>
        <v>0</v>
      </c>
      <c r="G449" s="2">
        <f>'Client 12'!X37</f>
        <v>0</v>
      </c>
      <c r="H449" s="2">
        <f>'Client 12'!Y37</f>
        <v>0</v>
      </c>
      <c r="I449" s="2">
        <f>'Client 12'!Z37</f>
        <v>0</v>
      </c>
      <c r="J449" s="2">
        <f>'Client 12'!AA37</f>
        <v>0</v>
      </c>
      <c r="K449" s="2">
        <f>'Client 12'!AB37</f>
        <v>0</v>
      </c>
      <c r="L449" s="2" cm="1">
        <f t="array" aca="1" ref="L449" ca="1">IF(B449=0,0,INDIRECT("MRN_"&amp;A449))</f>
        <v>0</v>
      </c>
      <c r="M449" s="2">
        <f t="shared" si="90"/>
        <v>0</v>
      </c>
      <c r="N449" s="2" t="str">
        <f t="shared" si="91"/>
        <v>No</v>
      </c>
      <c r="O449" s="2" t="str">
        <f t="shared" si="92"/>
        <v>No</v>
      </c>
      <c r="P449" s="2" t="str" cm="1">
        <f t="array" aca="1" ref="P449" ca="1">IF(OR(INDIRECT("MRN_"&amp;A449)="N/A",B449=0),"No","Yes")</f>
        <v>No</v>
      </c>
    </row>
    <row r="450" spans="1:16" x14ac:dyDescent="0.2">
      <c r="A450" s="68">
        <v>12</v>
      </c>
      <c r="B450" s="349">
        <f>'Client 12'!S38</f>
        <v>0</v>
      </c>
      <c r="C450" s="2">
        <f>'Client 12'!T38</f>
        <v>0</v>
      </c>
      <c r="D450" s="2">
        <f>'Client 12'!U38</f>
        <v>0</v>
      </c>
      <c r="E450" s="2">
        <f>'Client 12'!V38</f>
        <v>0</v>
      </c>
      <c r="F450" s="350">
        <f>'Client 12'!W38</f>
        <v>0</v>
      </c>
      <c r="G450" s="2">
        <f>'Client 12'!X38</f>
        <v>0</v>
      </c>
      <c r="H450" s="2">
        <f>'Client 12'!Y38</f>
        <v>0</v>
      </c>
      <c r="I450" s="2">
        <f>'Client 12'!Z38</f>
        <v>0</v>
      </c>
      <c r="J450" s="2">
        <f>'Client 12'!AA38</f>
        <v>0</v>
      </c>
      <c r="K450" s="2">
        <f>'Client 12'!AB38</f>
        <v>0</v>
      </c>
      <c r="L450" s="2" cm="1">
        <f t="array" aca="1" ref="L450" ca="1">IF(B450=0,0,INDIRECT("MRN_"&amp;A450))</f>
        <v>0</v>
      </c>
      <c r="M450" s="2">
        <f t="shared" si="90"/>
        <v>0</v>
      </c>
      <c r="N450" s="2" t="str">
        <f t="shared" si="91"/>
        <v>No</v>
      </c>
      <c r="O450" s="2" t="str">
        <f t="shared" si="92"/>
        <v>No</v>
      </c>
      <c r="P450" s="2" t="str" cm="1">
        <f t="array" aca="1" ref="P450" ca="1">IF(OR(INDIRECT("MRN_"&amp;A450)="N/A",B450=0),"No","Yes")</f>
        <v>No</v>
      </c>
    </row>
    <row r="451" spans="1:16" x14ac:dyDescent="0.2">
      <c r="A451" s="68">
        <v>13</v>
      </c>
      <c r="B451" s="349">
        <f>'Client 13'!S9</f>
        <v>0</v>
      </c>
      <c r="C451" s="2">
        <f>'Client 13'!T9</f>
        <v>0</v>
      </c>
      <c r="D451" s="2">
        <f>'Client 13'!U9</f>
        <v>0</v>
      </c>
      <c r="E451" s="2">
        <f>'Client 13'!V9</f>
        <v>0</v>
      </c>
      <c r="F451" s="350">
        <f>'Client 13'!W9</f>
        <v>0</v>
      </c>
      <c r="G451" s="2">
        <f>'Client 13'!X9</f>
        <v>0</v>
      </c>
      <c r="H451" s="2">
        <f>'Client 13'!Y9</f>
        <v>0</v>
      </c>
      <c r="I451" s="2">
        <f>'Client 13'!Z9</f>
        <v>0</v>
      </c>
      <c r="J451" s="2">
        <f>'Client 13'!AA9</f>
        <v>0</v>
      </c>
      <c r="K451" s="2">
        <f>'Client 13'!AB9</f>
        <v>0</v>
      </c>
      <c r="L451" s="2" cm="1">
        <f t="array" aca="1" ref="L451" ca="1">IF(B451=0,0,INDIRECT("MRN_"&amp;A451))</f>
        <v>0</v>
      </c>
      <c r="M451" s="2">
        <f t="shared" si="90"/>
        <v>0</v>
      </c>
      <c r="N451" s="2" t="str">
        <f t="shared" si="91"/>
        <v>No</v>
      </c>
      <c r="O451" s="2" t="str">
        <f t="shared" si="92"/>
        <v>No</v>
      </c>
      <c r="P451" s="2" t="str" cm="1">
        <f t="array" aca="1" ref="P451" ca="1">IF(OR(INDIRECT("MRN_"&amp;A451)="N/A",B451=0),"No","Yes")</f>
        <v>No</v>
      </c>
    </row>
    <row r="452" spans="1:16" x14ac:dyDescent="0.2">
      <c r="A452" s="68">
        <v>13</v>
      </c>
      <c r="B452" s="349">
        <f>'Client 13'!S10</f>
        <v>0</v>
      </c>
      <c r="C452" s="2">
        <f>'Client 13'!T10</f>
        <v>0</v>
      </c>
      <c r="D452" s="2">
        <f>'Client 13'!U10</f>
        <v>0</v>
      </c>
      <c r="E452" s="2">
        <f>'Client 13'!V10</f>
        <v>0</v>
      </c>
      <c r="F452" s="350">
        <f>'Client 13'!W10</f>
        <v>0</v>
      </c>
      <c r="G452" s="2">
        <f>'Client 13'!X10</f>
        <v>0</v>
      </c>
      <c r="H452" s="2">
        <f>'Client 13'!Y10</f>
        <v>0</v>
      </c>
      <c r="I452" s="2">
        <f>'Client 13'!Z10</f>
        <v>0</v>
      </c>
      <c r="J452" s="2">
        <f>'Client 13'!AA10</f>
        <v>0</v>
      </c>
      <c r="K452" s="2">
        <f>'Client 13'!AB10</f>
        <v>0</v>
      </c>
      <c r="L452" s="2" cm="1">
        <f t="array" aca="1" ref="L452" ca="1">IF(B452=0,0,INDIRECT("MRN_"&amp;A452))</f>
        <v>0</v>
      </c>
      <c r="M452" s="2">
        <f t="shared" si="90"/>
        <v>0</v>
      </c>
      <c r="N452" s="2" t="str">
        <f t="shared" si="91"/>
        <v>No</v>
      </c>
      <c r="O452" s="2" t="str">
        <f t="shared" si="92"/>
        <v>No</v>
      </c>
      <c r="P452" s="2" t="str" cm="1">
        <f t="array" aca="1" ref="P452" ca="1">IF(OR(INDIRECT("MRN_"&amp;A452)="N/A",B452=0),"No","Yes")</f>
        <v>No</v>
      </c>
    </row>
    <row r="453" spans="1:16" x14ac:dyDescent="0.2">
      <c r="A453" s="68">
        <v>13</v>
      </c>
      <c r="B453" s="349">
        <f>'Client 13'!S11</f>
        <v>0</v>
      </c>
      <c r="C453" s="2">
        <f>'Client 13'!T11</f>
        <v>0</v>
      </c>
      <c r="D453" s="2">
        <f>'Client 13'!U11</f>
        <v>0</v>
      </c>
      <c r="E453" s="2">
        <f>'Client 13'!V11</f>
        <v>0</v>
      </c>
      <c r="F453" s="350">
        <f>'Client 13'!W11</f>
        <v>0</v>
      </c>
      <c r="G453" s="2">
        <f>'Client 13'!X11</f>
        <v>0</v>
      </c>
      <c r="H453" s="2">
        <f>'Client 13'!Y11</f>
        <v>0</v>
      </c>
      <c r="I453" s="2">
        <f>'Client 13'!Z11</f>
        <v>0</v>
      </c>
      <c r="J453" s="2">
        <f>'Client 13'!AA11</f>
        <v>0</v>
      </c>
      <c r="K453" s="2">
        <f>'Client 13'!AB11</f>
        <v>0</v>
      </c>
      <c r="L453" s="2" cm="1">
        <f t="array" aca="1" ref="L453" ca="1">IF(B453=0,0,INDIRECT("MRN_"&amp;A453))</f>
        <v>0</v>
      </c>
      <c r="M453" s="2">
        <f t="shared" si="90"/>
        <v>0</v>
      </c>
      <c r="N453" s="2" t="str">
        <f t="shared" si="91"/>
        <v>No</v>
      </c>
      <c r="O453" s="2" t="str">
        <f t="shared" si="92"/>
        <v>No</v>
      </c>
      <c r="P453" s="2" t="str" cm="1">
        <f t="array" aca="1" ref="P453" ca="1">IF(OR(INDIRECT("MRN_"&amp;A453)="N/A",B453=0),"No","Yes")</f>
        <v>No</v>
      </c>
    </row>
    <row r="454" spans="1:16" x14ac:dyDescent="0.2">
      <c r="A454" s="68">
        <v>13</v>
      </c>
      <c r="B454" s="349">
        <f>'Client 13'!S12</f>
        <v>0</v>
      </c>
      <c r="C454" s="2">
        <f>'Client 13'!T12</f>
        <v>0</v>
      </c>
      <c r="D454" s="2">
        <f>'Client 13'!U12</f>
        <v>0</v>
      </c>
      <c r="E454" s="2">
        <f>'Client 13'!V12</f>
        <v>0</v>
      </c>
      <c r="F454" s="350">
        <f>'Client 13'!W12</f>
        <v>0</v>
      </c>
      <c r="G454" s="2">
        <f>'Client 13'!X12</f>
        <v>0</v>
      </c>
      <c r="H454" s="2">
        <f>'Client 13'!Y12</f>
        <v>0</v>
      </c>
      <c r="I454" s="2">
        <f>'Client 13'!Z12</f>
        <v>0</v>
      </c>
      <c r="J454" s="2">
        <f>'Client 13'!AA12</f>
        <v>0</v>
      </c>
      <c r="K454" s="2">
        <f>'Client 13'!AB12</f>
        <v>0</v>
      </c>
      <c r="L454" s="2" cm="1">
        <f t="array" aca="1" ref="L454" ca="1">IF(B454=0,0,INDIRECT("MRN_"&amp;A454))</f>
        <v>0</v>
      </c>
      <c r="M454" s="2">
        <f t="shared" si="90"/>
        <v>0</v>
      </c>
      <c r="N454" s="2" t="str">
        <f t="shared" si="91"/>
        <v>No</v>
      </c>
      <c r="O454" s="2" t="str">
        <f t="shared" si="92"/>
        <v>No</v>
      </c>
      <c r="P454" s="2" t="str" cm="1">
        <f t="array" aca="1" ref="P454" ca="1">IF(OR(INDIRECT("MRN_"&amp;A454)="N/A",B454=0),"No","Yes")</f>
        <v>No</v>
      </c>
    </row>
    <row r="455" spans="1:16" x14ac:dyDescent="0.2">
      <c r="A455" s="68">
        <v>13</v>
      </c>
      <c r="B455" s="349">
        <f>'Client 13'!S13</f>
        <v>0</v>
      </c>
      <c r="C455" s="2">
        <f>'Client 13'!T13</f>
        <v>0</v>
      </c>
      <c r="D455" s="2">
        <f>'Client 13'!U13</f>
        <v>0</v>
      </c>
      <c r="E455" s="2">
        <f>'Client 13'!V13</f>
        <v>0</v>
      </c>
      <c r="F455" s="350">
        <f>'Client 13'!W13</f>
        <v>0</v>
      </c>
      <c r="G455" s="2">
        <f>'Client 13'!X13</f>
        <v>0</v>
      </c>
      <c r="H455" s="2">
        <f>'Client 13'!Y13</f>
        <v>0</v>
      </c>
      <c r="I455" s="2">
        <f>'Client 13'!Z13</f>
        <v>0</v>
      </c>
      <c r="J455" s="2">
        <f>'Client 13'!AA13</f>
        <v>0</v>
      </c>
      <c r="K455" s="2">
        <f>'Client 13'!AB13</f>
        <v>0</v>
      </c>
      <c r="L455" s="2" cm="1">
        <f t="array" aca="1" ref="L455" ca="1">IF(B455=0,0,INDIRECT("MRN_"&amp;A455))</f>
        <v>0</v>
      </c>
      <c r="M455" s="2">
        <f t="shared" si="90"/>
        <v>0</v>
      </c>
      <c r="N455" s="2" t="str">
        <f t="shared" si="91"/>
        <v>No</v>
      </c>
      <c r="O455" s="2" t="str">
        <f t="shared" si="92"/>
        <v>No</v>
      </c>
      <c r="P455" s="2" t="str" cm="1">
        <f t="array" aca="1" ref="P455" ca="1">IF(OR(INDIRECT("MRN_"&amp;A455)="N/A",B455=0),"No","Yes")</f>
        <v>No</v>
      </c>
    </row>
    <row r="456" spans="1:16" x14ac:dyDescent="0.2">
      <c r="A456" s="68">
        <v>13</v>
      </c>
      <c r="B456" s="349">
        <f>'Client 13'!S14</f>
        <v>0</v>
      </c>
      <c r="C456" s="2">
        <f>'Client 13'!T14</f>
        <v>0</v>
      </c>
      <c r="D456" s="2">
        <f>'Client 13'!U14</f>
        <v>0</v>
      </c>
      <c r="E456" s="2">
        <f>'Client 13'!V14</f>
        <v>0</v>
      </c>
      <c r="F456" s="350">
        <f>'Client 13'!W14</f>
        <v>0</v>
      </c>
      <c r="G456" s="2">
        <f>'Client 13'!X14</f>
        <v>0</v>
      </c>
      <c r="H456" s="2">
        <f>'Client 13'!Y14</f>
        <v>0</v>
      </c>
      <c r="I456" s="2">
        <f>'Client 13'!Z14</f>
        <v>0</v>
      </c>
      <c r="J456" s="2">
        <f>'Client 13'!AA14</f>
        <v>0</v>
      </c>
      <c r="K456" s="2">
        <f>'Client 13'!AB14</f>
        <v>0</v>
      </c>
      <c r="L456" s="2" cm="1">
        <f t="array" aca="1" ref="L456" ca="1">IF(B456=0,0,INDIRECT("MRN_"&amp;A456))</f>
        <v>0</v>
      </c>
      <c r="M456" s="2">
        <f t="shared" si="90"/>
        <v>0</v>
      </c>
      <c r="N456" s="2" t="str">
        <f t="shared" si="91"/>
        <v>No</v>
      </c>
      <c r="O456" s="2" t="str">
        <f t="shared" si="92"/>
        <v>No</v>
      </c>
      <c r="P456" s="2" t="str" cm="1">
        <f t="array" aca="1" ref="P456" ca="1">IF(OR(INDIRECT("MRN_"&amp;A456)="N/A",B456=0),"No","Yes")</f>
        <v>No</v>
      </c>
    </row>
    <row r="457" spans="1:16" x14ac:dyDescent="0.2">
      <c r="A457" s="68">
        <v>13</v>
      </c>
      <c r="B457" s="349">
        <f>'Client 13'!S15</f>
        <v>0</v>
      </c>
      <c r="C457" s="2">
        <f>'Client 13'!T15</f>
        <v>0</v>
      </c>
      <c r="D457" s="2">
        <f>'Client 13'!U15</f>
        <v>0</v>
      </c>
      <c r="E457" s="2">
        <f>'Client 13'!V15</f>
        <v>0</v>
      </c>
      <c r="F457" s="350">
        <f>'Client 13'!W15</f>
        <v>0</v>
      </c>
      <c r="G457" s="2">
        <f>'Client 13'!X15</f>
        <v>0</v>
      </c>
      <c r="H457" s="2">
        <f>'Client 13'!Y15</f>
        <v>0</v>
      </c>
      <c r="I457" s="2">
        <f>'Client 13'!Z15</f>
        <v>0</v>
      </c>
      <c r="J457" s="2">
        <f>'Client 13'!AA15</f>
        <v>0</v>
      </c>
      <c r="K457" s="2">
        <f>'Client 13'!AB15</f>
        <v>0</v>
      </c>
      <c r="L457" s="2" cm="1">
        <f t="array" aca="1" ref="L457" ca="1">IF(B457=0,0,INDIRECT("MRN_"&amp;A457))</f>
        <v>0</v>
      </c>
      <c r="M457" s="2">
        <f t="shared" si="90"/>
        <v>0</v>
      </c>
      <c r="N457" s="2" t="str">
        <f t="shared" si="91"/>
        <v>No</v>
      </c>
      <c r="O457" s="2" t="str">
        <f t="shared" si="92"/>
        <v>No</v>
      </c>
      <c r="P457" s="2" t="str" cm="1">
        <f t="array" aca="1" ref="P457" ca="1">IF(OR(INDIRECT("MRN_"&amp;A457)="N/A",B457=0),"No","Yes")</f>
        <v>No</v>
      </c>
    </row>
    <row r="458" spans="1:16" x14ac:dyDescent="0.2">
      <c r="A458" s="68">
        <v>13</v>
      </c>
      <c r="B458" s="349">
        <f>'Client 13'!S16</f>
        <v>0</v>
      </c>
      <c r="C458" s="2">
        <f>'Client 13'!T16</f>
        <v>0</v>
      </c>
      <c r="D458" s="2">
        <f>'Client 13'!U16</f>
        <v>0</v>
      </c>
      <c r="E458" s="2">
        <f>'Client 13'!V16</f>
        <v>0</v>
      </c>
      <c r="F458" s="350">
        <f>'Client 13'!W16</f>
        <v>0</v>
      </c>
      <c r="G458" s="2">
        <f>'Client 13'!X16</f>
        <v>0</v>
      </c>
      <c r="H458" s="2">
        <f>'Client 13'!Y16</f>
        <v>0</v>
      </c>
      <c r="I458" s="2">
        <f>'Client 13'!Z16</f>
        <v>0</v>
      </c>
      <c r="J458" s="2">
        <f>'Client 13'!AA16</f>
        <v>0</v>
      </c>
      <c r="K458" s="2">
        <f>'Client 13'!AB16</f>
        <v>0</v>
      </c>
      <c r="L458" s="2" cm="1">
        <f t="array" aca="1" ref="L458" ca="1">IF(B458=0,0,INDIRECT("MRN_"&amp;A458))</f>
        <v>0</v>
      </c>
      <c r="M458" s="2">
        <f t="shared" si="90"/>
        <v>0</v>
      </c>
      <c r="N458" s="2" t="str">
        <f t="shared" si="91"/>
        <v>No</v>
      </c>
      <c r="O458" s="2" t="str">
        <f t="shared" si="92"/>
        <v>No</v>
      </c>
      <c r="P458" s="2" t="str" cm="1">
        <f t="array" aca="1" ref="P458" ca="1">IF(OR(INDIRECT("MRN_"&amp;A458)="N/A",B458=0),"No","Yes")</f>
        <v>No</v>
      </c>
    </row>
    <row r="459" spans="1:16" x14ac:dyDescent="0.2">
      <c r="A459" s="68">
        <v>13</v>
      </c>
      <c r="B459" s="349">
        <f>'Client 13'!S17</f>
        <v>0</v>
      </c>
      <c r="C459" s="2">
        <f>'Client 13'!T17</f>
        <v>0</v>
      </c>
      <c r="D459" s="2">
        <f>'Client 13'!U17</f>
        <v>0</v>
      </c>
      <c r="E459" s="2">
        <f>'Client 13'!V17</f>
        <v>0</v>
      </c>
      <c r="F459" s="350">
        <f>'Client 13'!W17</f>
        <v>0</v>
      </c>
      <c r="G459" s="2">
        <f>'Client 13'!X17</f>
        <v>0</v>
      </c>
      <c r="H459" s="2">
        <f>'Client 13'!Y17</f>
        <v>0</v>
      </c>
      <c r="I459" s="2">
        <f>'Client 13'!Z17</f>
        <v>0</v>
      </c>
      <c r="J459" s="2">
        <f>'Client 13'!AA17</f>
        <v>0</v>
      </c>
      <c r="K459" s="2">
        <f>'Client 13'!AB17</f>
        <v>0</v>
      </c>
      <c r="L459" s="2" cm="1">
        <f t="array" aca="1" ref="L459" ca="1">IF(B459=0,0,INDIRECT("MRN_"&amp;A459))</f>
        <v>0</v>
      </c>
      <c r="M459" s="2">
        <f t="shared" si="90"/>
        <v>0</v>
      </c>
      <c r="N459" s="2" t="str">
        <f t="shared" si="91"/>
        <v>No</v>
      </c>
      <c r="O459" s="2" t="str">
        <f t="shared" si="92"/>
        <v>No</v>
      </c>
      <c r="P459" s="2" t="str" cm="1">
        <f t="array" aca="1" ref="P459" ca="1">IF(OR(INDIRECT("MRN_"&amp;A459)="N/A",B459=0),"No","Yes")</f>
        <v>No</v>
      </c>
    </row>
    <row r="460" spans="1:16" x14ac:dyDescent="0.2">
      <c r="A460" s="68">
        <v>13</v>
      </c>
      <c r="B460" s="349">
        <f>'Client 13'!S18</f>
        <v>0</v>
      </c>
      <c r="C460" s="2">
        <f>'Client 13'!T18</f>
        <v>0</v>
      </c>
      <c r="D460" s="2">
        <f>'Client 13'!U18</f>
        <v>0</v>
      </c>
      <c r="E460" s="2">
        <f>'Client 13'!V18</f>
        <v>0</v>
      </c>
      <c r="F460" s="350">
        <f>'Client 13'!W18</f>
        <v>0</v>
      </c>
      <c r="G460" s="2">
        <f>'Client 13'!X18</f>
        <v>0</v>
      </c>
      <c r="H460" s="2">
        <f>'Client 13'!Y18</f>
        <v>0</v>
      </c>
      <c r="I460" s="2">
        <f>'Client 13'!Z18</f>
        <v>0</v>
      </c>
      <c r="J460" s="2">
        <f>'Client 13'!AA18</f>
        <v>0</v>
      </c>
      <c r="K460" s="2">
        <f>'Client 13'!AB18</f>
        <v>0</v>
      </c>
      <c r="L460" s="2" cm="1">
        <f t="array" aca="1" ref="L460" ca="1">IF(B460=0,0,INDIRECT("MRN_"&amp;A460))</f>
        <v>0</v>
      </c>
      <c r="M460" s="2">
        <f t="shared" si="90"/>
        <v>0</v>
      </c>
      <c r="N460" s="2" t="str">
        <f t="shared" si="91"/>
        <v>No</v>
      </c>
      <c r="O460" s="2" t="str">
        <f t="shared" si="92"/>
        <v>No</v>
      </c>
      <c r="P460" s="2" t="str" cm="1">
        <f t="array" aca="1" ref="P460" ca="1">IF(OR(INDIRECT("MRN_"&amp;A460)="N/A",B460=0),"No","Yes")</f>
        <v>No</v>
      </c>
    </row>
    <row r="461" spans="1:16" x14ac:dyDescent="0.2">
      <c r="A461" s="68">
        <v>13</v>
      </c>
      <c r="B461" s="349">
        <f>'Client 13'!S19</f>
        <v>0</v>
      </c>
      <c r="C461" s="2">
        <f>'Client 13'!T19</f>
        <v>0</v>
      </c>
      <c r="D461" s="2">
        <f>'Client 13'!U19</f>
        <v>0</v>
      </c>
      <c r="E461" s="2">
        <f>'Client 13'!V19</f>
        <v>0</v>
      </c>
      <c r="F461" s="350">
        <f>'Client 13'!W19</f>
        <v>0</v>
      </c>
      <c r="G461" s="2">
        <f>'Client 13'!X19</f>
        <v>0</v>
      </c>
      <c r="H461" s="2">
        <f>'Client 13'!Y19</f>
        <v>0</v>
      </c>
      <c r="I461" s="2">
        <f>'Client 13'!Z19</f>
        <v>0</v>
      </c>
      <c r="J461" s="2">
        <f>'Client 13'!AA19</f>
        <v>0</v>
      </c>
      <c r="K461" s="2">
        <f>'Client 13'!AB19</f>
        <v>0</v>
      </c>
      <c r="L461" s="2" cm="1">
        <f t="array" aca="1" ref="L461" ca="1">IF(B461=0,0,INDIRECT("MRN_"&amp;A461))</f>
        <v>0</v>
      </c>
      <c r="M461" s="2">
        <f t="shared" si="90"/>
        <v>0</v>
      </c>
      <c r="N461" s="2" t="str">
        <f t="shared" si="91"/>
        <v>No</v>
      </c>
      <c r="O461" s="2" t="str">
        <f t="shared" si="92"/>
        <v>No</v>
      </c>
      <c r="P461" s="2" t="str" cm="1">
        <f t="array" aca="1" ref="P461" ca="1">IF(OR(INDIRECT("MRN_"&amp;A461)="N/A",B461=0),"No","Yes")</f>
        <v>No</v>
      </c>
    </row>
    <row r="462" spans="1:16" x14ac:dyDescent="0.2">
      <c r="A462" s="68">
        <v>13</v>
      </c>
      <c r="B462" s="349">
        <f>'Client 13'!S20</f>
        <v>0</v>
      </c>
      <c r="C462" s="2">
        <f>'Client 13'!T20</f>
        <v>0</v>
      </c>
      <c r="D462" s="2">
        <f>'Client 13'!U20</f>
        <v>0</v>
      </c>
      <c r="E462" s="2">
        <f>'Client 13'!V20</f>
        <v>0</v>
      </c>
      <c r="F462" s="350">
        <f>'Client 13'!W20</f>
        <v>0</v>
      </c>
      <c r="G462" s="2">
        <f>'Client 13'!X20</f>
        <v>0</v>
      </c>
      <c r="H462" s="2">
        <f>'Client 13'!Y20</f>
        <v>0</v>
      </c>
      <c r="I462" s="2">
        <f>'Client 13'!Z20</f>
        <v>0</v>
      </c>
      <c r="J462" s="2">
        <f>'Client 13'!AA20</f>
        <v>0</v>
      </c>
      <c r="K462" s="2">
        <f>'Client 13'!AB20</f>
        <v>0</v>
      </c>
      <c r="L462" s="2" cm="1">
        <f t="array" aca="1" ref="L462" ca="1">IF(B462=0,0,INDIRECT("MRN_"&amp;A462))</f>
        <v>0</v>
      </c>
      <c r="M462" s="2">
        <f t="shared" si="90"/>
        <v>0</v>
      </c>
      <c r="N462" s="2" t="str">
        <f t="shared" si="91"/>
        <v>No</v>
      </c>
      <c r="O462" s="2" t="str">
        <f t="shared" si="92"/>
        <v>No</v>
      </c>
      <c r="P462" s="2" t="str" cm="1">
        <f t="array" aca="1" ref="P462" ca="1">IF(OR(INDIRECT("MRN_"&amp;A462)="N/A",B462=0),"No","Yes")</f>
        <v>No</v>
      </c>
    </row>
    <row r="463" spans="1:16" x14ac:dyDescent="0.2">
      <c r="A463" s="68">
        <v>13</v>
      </c>
      <c r="B463" s="349">
        <f>'Client 13'!S21</f>
        <v>0</v>
      </c>
      <c r="C463" s="2">
        <f>'Client 13'!T21</f>
        <v>0</v>
      </c>
      <c r="D463" s="2">
        <f>'Client 13'!U21</f>
        <v>0</v>
      </c>
      <c r="E463" s="2">
        <f>'Client 13'!V21</f>
        <v>0</v>
      </c>
      <c r="F463" s="350">
        <f>'Client 13'!W21</f>
        <v>0</v>
      </c>
      <c r="G463" s="2">
        <f>'Client 13'!X21</f>
        <v>0</v>
      </c>
      <c r="H463" s="2">
        <f>'Client 13'!Y21</f>
        <v>0</v>
      </c>
      <c r="I463" s="2">
        <f>'Client 13'!Z21</f>
        <v>0</v>
      </c>
      <c r="J463" s="2">
        <f>'Client 13'!AA21</f>
        <v>0</v>
      </c>
      <c r="K463" s="2">
        <f>'Client 13'!AB21</f>
        <v>0</v>
      </c>
      <c r="L463" s="2" cm="1">
        <f t="array" aca="1" ref="L463" ca="1">IF(B463=0,0,INDIRECT("MRN_"&amp;A463))</f>
        <v>0</v>
      </c>
      <c r="M463" s="2">
        <f t="shared" si="90"/>
        <v>0</v>
      </c>
      <c r="N463" s="2" t="str">
        <f t="shared" si="91"/>
        <v>No</v>
      </c>
      <c r="O463" s="2" t="str">
        <f t="shared" si="92"/>
        <v>No</v>
      </c>
      <c r="P463" s="2" t="str" cm="1">
        <f t="array" aca="1" ref="P463" ca="1">IF(OR(INDIRECT("MRN_"&amp;A463)="N/A",B463=0),"No","Yes")</f>
        <v>No</v>
      </c>
    </row>
    <row r="464" spans="1:16" x14ac:dyDescent="0.2">
      <c r="A464" s="68">
        <v>13</v>
      </c>
      <c r="B464" s="349">
        <f>'Client 13'!S22</f>
        <v>0</v>
      </c>
      <c r="C464" s="2">
        <f>'Client 13'!T22</f>
        <v>0</v>
      </c>
      <c r="D464" s="2">
        <f>'Client 13'!U22</f>
        <v>0</v>
      </c>
      <c r="E464" s="2">
        <f>'Client 13'!V22</f>
        <v>0</v>
      </c>
      <c r="F464" s="350">
        <f>'Client 13'!W22</f>
        <v>0</v>
      </c>
      <c r="G464" s="2">
        <f>'Client 13'!X22</f>
        <v>0</v>
      </c>
      <c r="H464" s="2">
        <f>'Client 13'!Y22</f>
        <v>0</v>
      </c>
      <c r="I464" s="2">
        <f>'Client 13'!Z22</f>
        <v>0</v>
      </c>
      <c r="J464" s="2">
        <f>'Client 13'!AA22</f>
        <v>0</v>
      </c>
      <c r="K464" s="2">
        <f>'Client 13'!AB22</f>
        <v>0</v>
      </c>
      <c r="L464" s="2" cm="1">
        <f t="array" aca="1" ref="L464" ca="1">IF(B464=0,0,INDIRECT("MRN_"&amp;A464))</f>
        <v>0</v>
      </c>
      <c r="M464" s="2">
        <f t="shared" si="90"/>
        <v>0</v>
      </c>
      <c r="N464" s="2" t="str">
        <f t="shared" si="91"/>
        <v>No</v>
      </c>
      <c r="O464" s="2" t="str">
        <f t="shared" si="92"/>
        <v>No</v>
      </c>
      <c r="P464" s="2" t="str" cm="1">
        <f t="array" aca="1" ref="P464" ca="1">IF(OR(INDIRECT("MRN_"&amp;A464)="N/A",B464=0),"No","Yes")</f>
        <v>No</v>
      </c>
    </row>
    <row r="465" spans="1:16" x14ac:dyDescent="0.2">
      <c r="A465" s="68">
        <v>13</v>
      </c>
      <c r="B465" s="349">
        <f>'Client 13'!S23</f>
        <v>0</v>
      </c>
      <c r="C465" s="2">
        <f>'Client 13'!T23</f>
        <v>0</v>
      </c>
      <c r="D465" s="2">
        <f>'Client 13'!U23</f>
        <v>0</v>
      </c>
      <c r="E465" s="2">
        <f>'Client 13'!V23</f>
        <v>0</v>
      </c>
      <c r="F465" s="350">
        <f>'Client 13'!W23</f>
        <v>0</v>
      </c>
      <c r="G465" s="2">
        <f>'Client 13'!X23</f>
        <v>0</v>
      </c>
      <c r="H465" s="2">
        <f>'Client 13'!Y23</f>
        <v>0</v>
      </c>
      <c r="I465" s="2">
        <f>'Client 13'!Z23</f>
        <v>0</v>
      </c>
      <c r="J465" s="2">
        <f>'Client 13'!AA23</f>
        <v>0</v>
      </c>
      <c r="K465" s="2">
        <f>'Client 13'!AB23</f>
        <v>0</v>
      </c>
      <c r="L465" s="2" cm="1">
        <f t="array" aca="1" ref="L465" ca="1">IF(B465=0,0,INDIRECT("MRN_"&amp;A465))</f>
        <v>0</v>
      </c>
      <c r="M465" s="2">
        <f t="shared" si="90"/>
        <v>0</v>
      </c>
      <c r="N465" s="2" t="str">
        <f t="shared" si="91"/>
        <v>No</v>
      </c>
      <c r="O465" s="2" t="str">
        <f t="shared" si="92"/>
        <v>No</v>
      </c>
      <c r="P465" s="2" t="str" cm="1">
        <f t="array" aca="1" ref="P465" ca="1">IF(OR(INDIRECT("MRN_"&amp;A465)="N/A",B465=0),"No","Yes")</f>
        <v>No</v>
      </c>
    </row>
    <row r="466" spans="1:16" x14ac:dyDescent="0.2">
      <c r="A466" s="68">
        <v>13</v>
      </c>
      <c r="B466" s="349">
        <f>'Client 13'!S24</f>
        <v>0</v>
      </c>
      <c r="C466" s="2">
        <f>'Client 13'!T24</f>
        <v>0</v>
      </c>
      <c r="D466" s="2">
        <f>'Client 13'!U24</f>
        <v>0</v>
      </c>
      <c r="E466" s="2">
        <f>'Client 13'!V24</f>
        <v>0</v>
      </c>
      <c r="F466" s="350">
        <f>'Client 13'!W24</f>
        <v>0</v>
      </c>
      <c r="G466" s="2">
        <f>'Client 13'!X24</f>
        <v>0</v>
      </c>
      <c r="H466" s="2">
        <f>'Client 13'!Y24</f>
        <v>0</v>
      </c>
      <c r="I466" s="2">
        <f>'Client 13'!Z24</f>
        <v>0</v>
      </c>
      <c r="J466" s="2">
        <f>'Client 13'!AA24</f>
        <v>0</v>
      </c>
      <c r="K466" s="2">
        <f>'Client 13'!AB24</f>
        <v>0</v>
      </c>
      <c r="L466" s="2" cm="1">
        <f t="array" aca="1" ref="L466" ca="1">IF(B466=0,0,INDIRECT("MRN_"&amp;A466))</f>
        <v>0</v>
      </c>
      <c r="M466" s="2">
        <f t="shared" si="90"/>
        <v>0</v>
      </c>
      <c r="N466" s="2" t="str">
        <f t="shared" si="91"/>
        <v>No</v>
      </c>
      <c r="O466" s="2" t="str">
        <f t="shared" si="92"/>
        <v>No</v>
      </c>
      <c r="P466" s="2" t="str" cm="1">
        <f t="array" aca="1" ref="P466" ca="1">IF(OR(INDIRECT("MRN_"&amp;A466)="N/A",B466=0),"No","Yes")</f>
        <v>No</v>
      </c>
    </row>
    <row r="467" spans="1:16" x14ac:dyDescent="0.2">
      <c r="A467" s="68">
        <v>13</v>
      </c>
      <c r="B467" s="349">
        <f>'Client 13'!S25</f>
        <v>0</v>
      </c>
      <c r="C467" s="2">
        <f>'Client 13'!T25</f>
        <v>0</v>
      </c>
      <c r="D467" s="2">
        <f>'Client 13'!U25</f>
        <v>0</v>
      </c>
      <c r="E467" s="2">
        <f>'Client 13'!V25</f>
        <v>0</v>
      </c>
      <c r="F467" s="350">
        <f>'Client 13'!W25</f>
        <v>0</v>
      </c>
      <c r="G467" s="2">
        <f>'Client 13'!X25</f>
        <v>0</v>
      </c>
      <c r="H467" s="2">
        <f>'Client 13'!Y25</f>
        <v>0</v>
      </c>
      <c r="I467" s="2">
        <f>'Client 13'!Z25</f>
        <v>0</v>
      </c>
      <c r="J467" s="2">
        <f>'Client 13'!AA25</f>
        <v>0</v>
      </c>
      <c r="K467" s="2">
        <f>'Client 13'!AB25</f>
        <v>0</v>
      </c>
      <c r="L467" s="2" cm="1">
        <f t="array" aca="1" ref="L467" ca="1">IF(B467=0,0,INDIRECT("MRN_"&amp;A467))</f>
        <v>0</v>
      </c>
      <c r="M467" s="2">
        <f t="shared" si="90"/>
        <v>0</v>
      </c>
      <c r="N467" s="2" t="str">
        <f t="shared" si="91"/>
        <v>No</v>
      </c>
      <c r="O467" s="2" t="str">
        <f t="shared" si="92"/>
        <v>No</v>
      </c>
      <c r="P467" s="2" t="str" cm="1">
        <f t="array" aca="1" ref="P467" ca="1">IF(OR(INDIRECT("MRN_"&amp;A467)="N/A",B467=0),"No","Yes")</f>
        <v>No</v>
      </c>
    </row>
    <row r="468" spans="1:16" x14ac:dyDescent="0.2">
      <c r="A468" s="68">
        <v>13</v>
      </c>
      <c r="B468" s="349">
        <f>'Client 13'!S26</f>
        <v>0</v>
      </c>
      <c r="C468" s="2">
        <f>'Client 13'!T26</f>
        <v>0</v>
      </c>
      <c r="D468" s="2">
        <f>'Client 13'!U26</f>
        <v>0</v>
      </c>
      <c r="E468" s="2">
        <f>'Client 13'!V26</f>
        <v>0</v>
      </c>
      <c r="F468" s="350">
        <f>'Client 13'!W26</f>
        <v>0</v>
      </c>
      <c r="G468" s="2">
        <f>'Client 13'!X26</f>
        <v>0</v>
      </c>
      <c r="H468" s="2">
        <f>'Client 13'!Y26</f>
        <v>0</v>
      </c>
      <c r="I468" s="2">
        <f>'Client 13'!Z26</f>
        <v>0</v>
      </c>
      <c r="J468" s="2">
        <f>'Client 13'!AA26</f>
        <v>0</v>
      </c>
      <c r="K468" s="2">
        <f>'Client 13'!AB26</f>
        <v>0</v>
      </c>
      <c r="L468" s="2" cm="1">
        <f t="array" aca="1" ref="L468" ca="1">IF(B468=0,0,INDIRECT("MRN_"&amp;A468))</f>
        <v>0</v>
      </c>
      <c r="M468" s="2">
        <f t="shared" si="90"/>
        <v>0</v>
      </c>
      <c r="N468" s="2" t="str">
        <f t="shared" si="91"/>
        <v>No</v>
      </c>
      <c r="O468" s="2" t="str">
        <f t="shared" si="92"/>
        <v>No</v>
      </c>
      <c r="P468" s="2" t="str" cm="1">
        <f t="array" aca="1" ref="P468" ca="1">IF(OR(INDIRECT("MRN_"&amp;A468)="N/A",B468=0),"No","Yes")</f>
        <v>No</v>
      </c>
    </row>
    <row r="469" spans="1:16" x14ac:dyDescent="0.2">
      <c r="A469" s="68">
        <v>13</v>
      </c>
      <c r="B469" s="349">
        <f>'Client 13'!S27</f>
        <v>0</v>
      </c>
      <c r="C469" s="2">
        <f>'Client 13'!T27</f>
        <v>0</v>
      </c>
      <c r="D469" s="2">
        <f>'Client 13'!U27</f>
        <v>0</v>
      </c>
      <c r="E469" s="2">
        <f>'Client 13'!V27</f>
        <v>0</v>
      </c>
      <c r="F469" s="350">
        <f>'Client 13'!W27</f>
        <v>0</v>
      </c>
      <c r="G469" s="2">
        <f>'Client 13'!X27</f>
        <v>0</v>
      </c>
      <c r="H469" s="2">
        <f>'Client 13'!Y27</f>
        <v>0</v>
      </c>
      <c r="I469" s="2">
        <f>'Client 13'!Z27</f>
        <v>0</v>
      </c>
      <c r="J469" s="2">
        <f>'Client 13'!AA27</f>
        <v>0</v>
      </c>
      <c r="K469" s="2">
        <f>'Client 13'!AB27</f>
        <v>0</v>
      </c>
      <c r="L469" s="2" cm="1">
        <f t="array" aca="1" ref="L469" ca="1">IF(B469=0,0,INDIRECT("MRN_"&amp;A469))</f>
        <v>0</v>
      </c>
      <c r="M469" s="2">
        <f t="shared" si="90"/>
        <v>0</v>
      </c>
      <c r="N469" s="2" t="str">
        <f t="shared" si="91"/>
        <v>No</v>
      </c>
      <c r="O469" s="2" t="str">
        <f t="shared" si="92"/>
        <v>No</v>
      </c>
      <c r="P469" s="2" t="str" cm="1">
        <f t="array" aca="1" ref="P469" ca="1">IF(OR(INDIRECT("MRN_"&amp;A469)="N/A",B469=0),"No","Yes")</f>
        <v>No</v>
      </c>
    </row>
    <row r="470" spans="1:16" x14ac:dyDescent="0.2">
      <c r="A470" s="68">
        <v>13</v>
      </c>
      <c r="B470" s="349">
        <f>'Client 13'!S28</f>
        <v>0</v>
      </c>
      <c r="C470" s="2">
        <f>'Client 13'!T28</f>
        <v>0</v>
      </c>
      <c r="D470" s="2">
        <f>'Client 13'!U28</f>
        <v>0</v>
      </c>
      <c r="E470" s="2">
        <f>'Client 13'!V28</f>
        <v>0</v>
      </c>
      <c r="F470" s="350">
        <f>'Client 13'!W28</f>
        <v>0</v>
      </c>
      <c r="G470" s="2">
        <f>'Client 13'!X28</f>
        <v>0</v>
      </c>
      <c r="H470" s="2">
        <f>'Client 13'!Y28</f>
        <v>0</v>
      </c>
      <c r="I470" s="2">
        <f>'Client 13'!Z28</f>
        <v>0</v>
      </c>
      <c r="J470" s="2">
        <f>'Client 13'!AA28</f>
        <v>0</v>
      </c>
      <c r="K470" s="2">
        <f>'Client 13'!AB28</f>
        <v>0</v>
      </c>
      <c r="L470" s="2" cm="1">
        <f t="array" aca="1" ref="L470" ca="1">IF(B470=0,0,INDIRECT("MRN_"&amp;A470))</f>
        <v>0</v>
      </c>
      <c r="M470" s="2">
        <f t="shared" si="90"/>
        <v>0</v>
      </c>
      <c r="N470" s="2" t="str">
        <f t="shared" si="91"/>
        <v>No</v>
      </c>
      <c r="O470" s="2" t="str">
        <f t="shared" si="92"/>
        <v>No</v>
      </c>
      <c r="P470" s="2" t="str" cm="1">
        <f t="array" aca="1" ref="P470" ca="1">IF(OR(INDIRECT("MRN_"&amp;A470)="N/A",B470=0),"No","Yes")</f>
        <v>No</v>
      </c>
    </row>
    <row r="471" spans="1:16" x14ac:dyDescent="0.2">
      <c r="A471" s="68">
        <v>13</v>
      </c>
      <c r="B471" s="349">
        <f>'Client 13'!S29</f>
        <v>0</v>
      </c>
      <c r="C471" s="2">
        <f>'Client 13'!T29</f>
        <v>0</v>
      </c>
      <c r="D471" s="2">
        <f>'Client 13'!U29</f>
        <v>0</v>
      </c>
      <c r="E471" s="2">
        <f>'Client 13'!V29</f>
        <v>0</v>
      </c>
      <c r="F471" s="350">
        <f>'Client 13'!W29</f>
        <v>0</v>
      </c>
      <c r="G471" s="2">
        <f>'Client 13'!X29</f>
        <v>0</v>
      </c>
      <c r="H471" s="2">
        <f>'Client 13'!Y29</f>
        <v>0</v>
      </c>
      <c r="I471" s="2">
        <f>'Client 13'!Z29</f>
        <v>0</v>
      </c>
      <c r="J471" s="2">
        <f>'Client 13'!AA29</f>
        <v>0</v>
      </c>
      <c r="K471" s="2">
        <f>'Client 13'!AB29</f>
        <v>0</v>
      </c>
      <c r="L471" s="2" cm="1">
        <f t="array" aca="1" ref="L471" ca="1">IF(B471=0,0,INDIRECT("MRN_"&amp;A471))</f>
        <v>0</v>
      </c>
      <c r="M471" s="2">
        <f t="shared" si="90"/>
        <v>0</v>
      </c>
      <c r="N471" s="2" t="str">
        <f t="shared" si="91"/>
        <v>No</v>
      </c>
      <c r="O471" s="2" t="str">
        <f t="shared" si="92"/>
        <v>No</v>
      </c>
      <c r="P471" s="2" t="str" cm="1">
        <f t="array" aca="1" ref="P471" ca="1">IF(OR(INDIRECT("MRN_"&amp;A471)="N/A",B471=0),"No","Yes")</f>
        <v>No</v>
      </c>
    </row>
    <row r="472" spans="1:16" x14ac:dyDescent="0.2">
      <c r="A472" s="68">
        <v>13</v>
      </c>
      <c r="B472" s="349">
        <f>'Client 13'!S30</f>
        <v>0</v>
      </c>
      <c r="C472" s="2">
        <f>'Client 13'!T30</f>
        <v>0</v>
      </c>
      <c r="D472" s="2">
        <f>'Client 13'!U30</f>
        <v>0</v>
      </c>
      <c r="E472" s="2">
        <f>'Client 13'!V30</f>
        <v>0</v>
      </c>
      <c r="F472" s="350">
        <f>'Client 13'!W30</f>
        <v>0</v>
      </c>
      <c r="G472" s="2">
        <f>'Client 13'!X30</f>
        <v>0</v>
      </c>
      <c r="H472" s="2">
        <f>'Client 13'!Y30</f>
        <v>0</v>
      </c>
      <c r="I472" s="2">
        <f>'Client 13'!Z30</f>
        <v>0</v>
      </c>
      <c r="J472" s="2">
        <f>'Client 13'!AA30</f>
        <v>0</v>
      </c>
      <c r="K472" s="2">
        <f>'Client 13'!AB30</f>
        <v>0</v>
      </c>
      <c r="L472" s="2" cm="1">
        <f t="array" aca="1" ref="L472" ca="1">IF(B472=0,0,INDIRECT("MRN_"&amp;A472))</f>
        <v>0</v>
      </c>
      <c r="M472" s="2">
        <f t="shared" si="90"/>
        <v>0</v>
      </c>
      <c r="N472" s="2" t="str">
        <f t="shared" si="91"/>
        <v>No</v>
      </c>
      <c r="O472" s="2" t="str">
        <f t="shared" si="92"/>
        <v>No</v>
      </c>
      <c r="P472" s="2" t="str" cm="1">
        <f t="array" aca="1" ref="P472" ca="1">IF(OR(INDIRECT("MRN_"&amp;A472)="N/A",B472=0),"No","Yes")</f>
        <v>No</v>
      </c>
    </row>
    <row r="473" spans="1:16" x14ac:dyDescent="0.2">
      <c r="A473" s="68">
        <v>13</v>
      </c>
      <c r="B473" s="349">
        <f>'Client 13'!S31</f>
        <v>0</v>
      </c>
      <c r="C473" s="2">
        <f>'Client 13'!T31</f>
        <v>0</v>
      </c>
      <c r="D473" s="2">
        <f>'Client 13'!U31</f>
        <v>0</v>
      </c>
      <c r="E473" s="2">
        <f>'Client 13'!V31</f>
        <v>0</v>
      </c>
      <c r="F473" s="350">
        <f>'Client 13'!W31</f>
        <v>0</v>
      </c>
      <c r="G473" s="2">
        <f>'Client 13'!X31</f>
        <v>0</v>
      </c>
      <c r="H473" s="2">
        <f>'Client 13'!Y31</f>
        <v>0</v>
      </c>
      <c r="I473" s="2">
        <f>'Client 13'!Z31</f>
        <v>0</v>
      </c>
      <c r="J473" s="2">
        <f>'Client 13'!AA31</f>
        <v>0</v>
      </c>
      <c r="K473" s="2">
        <f>'Client 13'!AB31</f>
        <v>0</v>
      </c>
      <c r="L473" s="2" cm="1">
        <f t="array" aca="1" ref="L473" ca="1">IF(B473=0,0,INDIRECT("MRN_"&amp;A473))</f>
        <v>0</v>
      </c>
      <c r="M473" s="2">
        <f t="shared" si="90"/>
        <v>0</v>
      </c>
      <c r="N473" s="2" t="str">
        <f t="shared" si="91"/>
        <v>No</v>
      </c>
      <c r="O473" s="2" t="str">
        <f t="shared" si="92"/>
        <v>No</v>
      </c>
      <c r="P473" s="2" t="str" cm="1">
        <f t="array" aca="1" ref="P473" ca="1">IF(OR(INDIRECT("MRN_"&amp;A473)="N/A",B473=0),"No","Yes")</f>
        <v>No</v>
      </c>
    </row>
    <row r="474" spans="1:16" x14ac:dyDescent="0.2">
      <c r="A474" s="68">
        <v>13</v>
      </c>
      <c r="B474" s="349">
        <f>'Client 13'!S32</f>
        <v>0</v>
      </c>
      <c r="C474" s="2">
        <f>'Client 13'!T32</f>
        <v>0</v>
      </c>
      <c r="D474" s="2">
        <f>'Client 13'!U32</f>
        <v>0</v>
      </c>
      <c r="E474" s="2">
        <f>'Client 13'!V32</f>
        <v>0</v>
      </c>
      <c r="F474" s="350">
        <f>'Client 13'!W32</f>
        <v>0</v>
      </c>
      <c r="G474" s="2">
        <f>'Client 13'!X32</f>
        <v>0</v>
      </c>
      <c r="H474" s="2">
        <f>'Client 13'!Y32</f>
        <v>0</v>
      </c>
      <c r="I474" s="2">
        <f>'Client 13'!Z32</f>
        <v>0</v>
      </c>
      <c r="J474" s="2">
        <f>'Client 13'!AA32</f>
        <v>0</v>
      </c>
      <c r="K474" s="2">
        <f>'Client 13'!AB32</f>
        <v>0</v>
      </c>
      <c r="L474" s="2" cm="1">
        <f t="array" aca="1" ref="L474" ca="1">IF(B474=0,0,INDIRECT("MRN_"&amp;A474))</f>
        <v>0</v>
      </c>
      <c r="M474" s="2">
        <f t="shared" si="90"/>
        <v>0</v>
      </c>
      <c r="N474" s="2" t="str">
        <f t="shared" si="91"/>
        <v>No</v>
      </c>
      <c r="O474" s="2" t="str">
        <f t="shared" si="92"/>
        <v>No</v>
      </c>
      <c r="P474" s="2" t="str" cm="1">
        <f t="array" aca="1" ref="P474" ca="1">IF(OR(INDIRECT("MRN_"&amp;A474)="N/A",B474=0),"No","Yes")</f>
        <v>No</v>
      </c>
    </row>
    <row r="475" spans="1:16" x14ac:dyDescent="0.2">
      <c r="A475" s="68">
        <v>13</v>
      </c>
      <c r="B475" s="349">
        <f>'Client 13'!S33</f>
        <v>0</v>
      </c>
      <c r="C475" s="2">
        <f>'Client 13'!T33</f>
        <v>0</v>
      </c>
      <c r="D475" s="2">
        <f>'Client 13'!U33</f>
        <v>0</v>
      </c>
      <c r="E475" s="2">
        <f>'Client 13'!V33</f>
        <v>0</v>
      </c>
      <c r="F475" s="350">
        <f>'Client 13'!W33</f>
        <v>0</v>
      </c>
      <c r="G475" s="2">
        <f>'Client 13'!X33</f>
        <v>0</v>
      </c>
      <c r="H475" s="2">
        <f>'Client 13'!Y33</f>
        <v>0</v>
      </c>
      <c r="I475" s="2">
        <f>'Client 13'!Z33</f>
        <v>0</v>
      </c>
      <c r="J475" s="2">
        <f>'Client 13'!AA33</f>
        <v>0</v>
      </c>
      <c r="K475" s="2">
        <f>'Client 13'!AB33</f>
        <v>0</v>
      </c>
      <c r="L475" s="2" cm="1">
        <f t="array" aca="1" ref="L475" ca="1">IF(B475=0,0,INDIRECT("MRN_"&amp;A475))</f>
        <v>0</v>
      </c>
      <c r="M475" s="2">
        <f t="shared" si="90"/>
        <v>0</v>
      </c>
      <c r="N475" s="2" t="str">
        <f t="shared" si="91"/>
        <v>No</v>
      </c>
      <c r="O475" s="2" t="str">
        <f t="shared" si="92"/>
        <v>No</v>
      </c>
      <c r="P475" s="2" t="str" cm="1">
        <f t="array" aca="1" ref="P475" ca="1">IF(OR(INDIRECT("MRN_"&amp;A475)="N/A",B475=0),"No","Yes")</f>
        <v>No</v>
      </c>
    </row>
    <row r="476" spans="1:16" x14ac:dyDescent="0.2">
      <c r="A476" s="68">
        <v>13</v>
      </c>
      <c r="B476" s="349">
        <f>'Client 13'!S34</f>
        <v>0</v>
      </c>
      <c r="C476" s="2">
        <f>'Client 13'!T34</f>
        <v>0</v>
      </c>
      <c r="D476" s="2">
        <f>'Client 13'!U34</f>
        <v>0</v>
      </c>
      <c r="E476" s="2">
        <f>'Client 13'!V34</f>
        <v>0</v>
      </c>
      <c r="F476" s="350">
        <f>'Client 13'!W34</f>
        <v>0</v>
      </c>
      <c r="G476" s="2">
        <f>'Client 13'!X34</f>
        <v>0</v>
      </c>
      <c r="H476" s="2">
        <f>'Client 13'!Y34</f>
        <v>0</v>
      </c>
      <c r="I476" s="2">
        <f>'Client 13'!Z34</f>
        <v>0</v>
      </c>
      <c r="J476" s="2">
        <f>'Client 13'!AA34</f>
        <v>0</v>
      </c>
      <c r="K476" s="2">
        <f>'Client 13'!AB34</f>
        <v>0</v>
      </c>
      <c r="L476" s="2" cm="1">
        <f t="array" aca="1" ref="L476" ca="1">IF(B476=0,0,INDIRECT("MRN_"&amp;A476))</f>
        <v>0</v>
      </c>
      <c r="M476" s="2">
        <f t="shared" ref="M476:M539" si="93">IF(B476=0,0,"Client_"&amp;A476)</f>
        <v>0</v>
      </c>
      <c r="N476" s="2" t="str">
        <f t="shared" ref="N476:N539" si="94">IF(J476=0,"No","Yes")</f>
        <v>No</v>
      </c>
      <c r="O476" s="2" t="str">
        <f t="shared" ref="O476:O539" si="95">IF(I476=0,"No","Yes")</f>
        <v>No</v>
      </c>
      <c r="P476" s="2" t="str" cm="1">
        <f t="array" aca="1" ref="P476" ca="1">IF(OR(INDIRECT("MRN_"&amp;A476)="N/A",B476=0),"No","Yes")</f>
        <v>No</v>
      </c>
    </row>
    <row r="477" spans="1:16" x14ac:dyDescent="0.2">
      <c r="A477" s="68">
        <v>13</v>
      </c>
      <c r="B477" s="349">
        <f>'Client 13'!S35</f>
        <v>0</v>
      </c>
      <c r="C477" s="2">
        <f>'Client 13'!T35</f>
        <v>0</v>
      </c>
      <c r="D477" s="2">
        <f>'Client 13'!U35</f>
        <v>0</v>
      </c>
      <c r="E477" s="2">
        <f>'Client 13'!V35</f>
        <v>0</v>
      </c>
      <c r="F477" s="350">
        <f>'Client 13'!W35</f>
        <v>0</v>
      </c>
      <c r="G477" s="2">
        <f>'Client 13'!X35</f>
        <v>0</v>
      </c>
      <c r="H477" s="2">
        <f>'Client 13'!Y35</f>
        <v>0</v>
      </c>
      <c r="I477" s="2">
        <f>'Client 13'!Z35</f>
        <v>0</v>
      </c>
      <c r="J477" s="2">
        <f>'Client 13'!AA35</f>
        <v>0</v>
      </c>
      <c r="K477" s="2">
        <f>'Client 13'!AB35</f>
        <v>0</v>
      </c>
      <c r="L477" s="2" cm="1">
        <f t="array" aca="1" ref="L477" ca="1">IF(B477=0,0,INDIRECT("MRN_"&amp;A477))</f>
        <v>0</v>
      </c>
      <c r="M477" s="2">
        <f t="shared" si="93"/>
        <v>0</v>
      </c>
      <c r="N477" s="2" t="str">
        <f t="shared" si="94"/>
        <v>No</v>
      </c>
      <c r="O477" s="2" t="str">
        <f t="shared" si="95"/>
        <v>No</v>
      </c>
      <c r="P477" s="2" t="str" cm="1">
        <f t="array" aca="1" ref="P477" ca="1">IF(OR(INDIRECT("MRN_"&amp;A477)="N/A",B477=0),"No","Yes")</f>
        <v>No</v>
      </c>
    </row>
    <row r="478" spans="1:16" x14ac:dyDescent="0.2">
      <c r="A478" s="68">
        <v>13</v>
      </c>
      <c r="B478" s="349">
        <f>'Client 13'!S36</f>
        <v>0</v>
      </c>
      <c r="C478" s="2">
        <f>'Client 13'!T36</f>
        <v>0</v>
      </c>
      <c r="D478" s="2">
        <f>'Client 13'!U36</f>
        <v>0</v>
      </c>
      <c r="E478" s="2">
        <f>'Client 13'!V36</f>
        <v>0</v>
      </c>
      <c r="F478" s="350">
        <f>'Client 13'!W36</f>
        <v>0</v>
      </c>
      <c r="G478" s="2">
        <f>'Client 13'!X36</f>
        <v>0</v>
      </c>
      <c r="H478" s="2">
        <f>'Client 13'!Y36</f>
        <v>0</v>
      </c>
      <c r="I478" s="2">
        <f>'Client 13'!Z36</f>
        <v>0</v>
      </c>
      <c r="J478" s="2">
        <f>'Client 13'!AA36</f>
        <v>0</v>
      </c>
      <c r="K478" s="2">
        <f>'Client 13'!AB36</f>
        <v>0</v>
      </c>
      <c r="L478" s="2" cm="1">
        <f t="array" aca="1" ref="L478" ca="1">IF(B478=0,0,INDIRECT("MRN_"&amp;A478))</f>
        <v>0</v>
      </c>
      <c r="M478" s="2">
        <f t="shared" si="93"/>
        <v>0</v>
      </c>
      <c r="N478" s="2" t="str">
        <f t="shared" si="94"/>
        <v>No</v>
      </c>
      <c r="O478" s="2" t="str">
        <f t="shared" si="95"/>
        <v>No</v>
      </c>
      <c r="P478" s="2" t="str" cm="1">
        <f t="array" aca="1" ref="P478" ca="1">IF(OR(INDIRECT("MRN_"&amp;A478)="N/A",B478=0),"No","Yes")</f>
        <v>No</v>
      </c>
    </row>
    <row r="479" spans="1:16" x14ac:dyDescent="0.2">
      <c r="A479" s="68">
        <v>13</v>
      </c>
      <c r="B479" s="349">
        <f>'Client 13'!S37</f>
        <v>0</v>
      </c>
      <c r="C479" s="2">
        <f>'Client 13'!T37</f>
        <v>0</v>
      </c>
      <c r="D479" s="2">
        <f>'Client 13'!U37</f>
        <v>0</v>
      </c>
      <c r="E479" s="2">
        <f>'Client 13'!V37</f>
        <v>0</v>
      </c>
      <c r="F479" s="350">
        <f>'Client 13'!W37</f>
        <v>0</v>
      </c>
      <c r="G479" s="2">
        <f>'Client 13'!X37</f>
        <v>0</v>
      </c>
      <c r="H479" s="2">
        <f>'Client 13'!Y37</f>
        <v>0</v>
      </c>
      <c r="I479" s="2">
        <f>'Client 13'!Z37</f>
        <v>0</v>
      </c>
      <c r="J479" s="2">
        <f>'Client 13'!AA37</f>
        <v>0</v>
      </c>
      <c r="K479" s="2">
        <f>'Client 13'!AB37</f>
        <v>0</v>
      </c>
      <c r="L479" s="2" cm="1">
        <f t="array" aca="1" ref="L479" ca="1">IF(B479=0,0,INDIRECT("MRN_"&amp;A479))</f>
        <v>0</v>
      </c>
      <c r="M479" s="2">
        <f t="shared" si="93"/>
        <v>0</v>
      </c>
      <c r="N479" s="2" t="str">
        <f t="shared" si="94"/>
        <v>No</v>
      </c>
      <c r="O479" s="2" t="str">
        <f t="shared" si="95"/>
        <v>No</v>
      </c>
      <c r="P479" s="2" t="str" cm="1">
        <f t="array" aca="1" ref="P479" ca="1">IF(OR(INDIRECT("MRN_"&amp;A479)="N/A",B479=0),"No","Yes")</f>
        <v>No</v>
      </c>
    </row>
    <row r="480" spans="1:16" x14ac:dyDescent="0.2">
      <c r="A480" s="68">
        <v>13</v>
      </c>
      <c r="B480" s="349">
        <f>'Client 13'!S38</f>
        <v>0</v>
      </c>
      <c r="C480" s="2">
        <f>'Client 13'!T38</f>
        <v>0</v>
      </c>
      <c r="D480" s="2">
        <f>'Client 13'!U38</f>
        <v>0</v>
      </c>
      <c r="E480" s="2">
        <f>'Client 13'!V38</f>
        <v>0</v>
      </c>
      <c r="F480" s="350">
        <f>'Client 13'!W38</f>
        <v>0</v>
      </c>
      <c r="G480" s="2">
        <f>'Client 13'!X38</f>
        <v>0</v>
      </c>
      <c r="H480" s="2">
        <f>'Client 13'!Y38</f>
        <v>0</v>
      </c>
      <c r="I480" s="2">
        <f>'Client 13'!Z38</f>
        <v>0</v>
      </c>
      <c r="J480" s="2">
        <f>'Client 13'!AA38</f>
        <v>0</v>
      </c>
      <c r="K480" s="2">
        <f>'Client 13'!AB38</f>
        <v>0</v>
      </c>
      <c r="L480" s="2" cm="1">
        <f t="array" aca="1" ref="L480" ca="1">IF(B480=0,0,INDIRECT("MRN_"&amp;A480))</f>
        <v>0</v>
      </c>
      <c r="M480" s="2">
        <f t="shared" si="93"/>
        <v>0</v>
      </c>
      <c r="N480" s="2" t="str">
        <f t="shared" si="94"/>
        <v>No</v>
      </c>
      <c r="O480" s="2" t="str">
        <f t="shared" si="95"/>
        <v>No</v>
      </c>
      <c r="P480" s="2" t="str" cm="1">
        <f t="array" aca="1" ref="P480" ca="1">IF(OR(INDIRECT("MRN_"&amp;A480)="N/A",B480=0),"No","Yes")</f>
        <v>No</v>
      </c>
    </row>
    <row r="481" spans="1:16" x14ac:dyDescent="0.2">
      <c r="A481" s="68">
        <v>14</v>
      </c>
      <c r="B481" s="349">
        <f>'Client 14'!S9</f>
        <v>0</v>
      </c>
      <c r="C481" s="2">
        <f>'Client 14'!T9</f>
        <v>0</v>
      </c>
      <c r="D481" s="2">
        <f>'Client 14'!U9</f>
        <v>0</v>
      </c>
      <c r="E481" s="2">
        <f>'Client 14'!V9</f>
        <v>0</v>
      </c>
      <c r="F481" s="350">
        <f>'Client 14'!W9</f>
        <v>0</v>
      </c>
      <c r="G481" s="2">
        <f>'Client 14'!X9</f>
        <v>0</v>
      </c>
      <c r="H481" s="2">
        <f>'Client 14'!Y9</f>
        <v>0</v>
      </c>
      <c r="I481" s="2">
        <f>'Client 14'!Z9</f>
        <v>0</v>
      </c>
      <c r="J481" s="2">
        <f>'Client 14'!AA9</f>
        <v>0</v>
      </c>
      <c r="K481" s="2">
        <f>'Client 14'!AB9</f>
        <v>0</v>
      </c>
      <c r="L481" s="2" cm="1">
        <f t="array" aca="1" ref="L481" ca="1">IF(B481=0,0,INDIRECT("MRN_"&amp;A481))</f>
        <v>0</v>
      </c>
      <c r="M481" s="2">
        <f t="shared" si="93"/>
        <v>0</v>
      </c>
      <c r="N481" s="2" t="str">
        <f t="shared" si="94"/>
        <v>No</v>
      </c>
      <c r="O481" s="2" t="str">
        <f t="shared" si="95"/>
        <v>No</v>
      </c>
      <c r="P481" s="2" t="str" cm="1">
        <f t="array" aca="1" ref="P481" ca="1">IF(OR(INDIRECT("MRN_"&amp;A481)="N/A",B481=0),"No","Yes")</f>
        <v>No</v>
      </c>
    </row>
    <row r="482" spans="1:16" x14ac:dyDescent="0.2">
      <c r="A482" s="68">
        <v>14</v>
      </c>
      <c r="B482" s="349">
        <f>'Client 14'!S10</f>
        <v>0</v>
      </c>
      <c r="C482" s="2">
        <f>'Client 14'!T10</f>
        <v>0</v>
      </c>
      <c r="D482" s="2">
        <f>'Client 14'!U10</f>
        <v>0</v>
      </c>
      <c r="E482" s="2">
        <f>'Client 14'!V10</f>
        <v>0</v>
      </c>
      <c r="F482" s="350">
        <f>'Client 14'!W10</f>
        <v>0</v>
      </c>
      <c r="G482" s="2">
        <f>'Client 14'!X10</f>
        <v>0</v>
      </c>
      <c r="H482" s="2">
        <f>'Client 14'!Y10</f>
        <v>0</v>
      </c>
      <c r="I482" s="2">
        <f>'Client 14'!Z10</f>
        <v>0</v>
      </c>
      <c r="J482" s="2">
        <f>'Client 14'!AA10</f>
        <v>0</v>
      </c>
      <c r="K482" s="2">
        <f>'Client 14'!AB10</f>
        <v>0</v>
      </c>
      <c r="L482" s="2" cm="1">
        <f t="array" aca="1" ref="L482" ca="1">IF(B482=0,0,INDIRECT("MRN_"&amp;A482))</f>
        <v>0</v>
      </c>
      <c r="M482" s="2">
        <f t="shared" si="93"/>
        <v>0</v>
      </c>
      <c r="N482" s="2" t="str">
        <f t="shared" si="94"/>
        <v>No</v>
      </c>
      <c r="O482" s="2" t="str">
        <f t="shared" si="95"/>
        <v>No</v>
      </c>
      <c r="P482" s="2" t="str" cm="1">
        <f t="array" aca="1" ref="P482" ca="1">IF(OR(INDIRECT("MRN_"&amp;A482)="N/A",B482=0),"No","Yes")</f>
        <v>No</v>
      </c>
    </row>
    <row r="483" spans="1:16" x14ac:dyDescent="0.2">
      <c r="A483" s="68">
        <v>14</v>
      </c>
      <c r="B483" s="349">
        <f>'Client 14'!S11</f>
        <v>0</v>
      </c>
      <c r="C483" s="2">
        <f>'Client 14'!T11</f>
        <v>0</v>
      </c>
      <c r="D483" s="2">
        <f>'Client 14'!U11</f>
        <v>0</v>
      </c>
      <c r="E483" s="2">
        <f>'Client 14'!V11</f>
        <v>0</v>
      </c>
      <c r="F483" s="350">
        <f>'Client 14'!W11</f>
        <v>0</v>
      </c>
      <c r="G483" s="2">
        <f>'Client 14'!X11</f>
        <v>0</v>
      </c>
      <c r="H483" s="2">
        <f>'Client 14'!Y11</f>
        <v>0</v>
      </c>
      <c r="I483" s="2">
        <f>'Client 14'!Z11</f>
        <v>0</v>
      </c>
      <c r="J483" s="2">
        <f>'Client 14'!AA11</f>
        <v>0</v>
      </c>
      <c r="K483" s="2">
        <f>'Client 14'!AB11</f>
        <v>0</v>
      </c>
      <c r="L483" s="2" cm="1">
        <f t="array" aca="1" ref="L483" ca="1">IF(B483=0,0,INDIRECT("MRN_"&amp;A483))</f>
        <v>0</v>
      </c>
      <c r="M483" s="2">
        <f t="shared" si="93"/>
        <v>0</v>
      </c>
      <c r="N483" s="2" t="str">
        <f t="shared" si="94"/>
        <v>No</v>
      </c>
      <c r="O483" s="2" t="str">
        <f t="shared" si="95"/>
        <v>No</v>
      </c>
      <c r="P483" s="2" t="str" cm="1">
        <f t="array" aca="1" ref="P483" ca="1">IF(OR(INDIRECT("MRN_"&amp;A483)="N/A",B483=0),"No","Yes")</f>
        <v>No</v>
      </c>
    </row>
    <row r="484" spans="1:16" x14ac:dyDescent="0.2">
      <c r="A484" s="68">
        <v>14</v>
      </c>
      <c r="B484" s="349">
        <f>'Client 14'!S12</f>
        <v>0</v>
      </c>
      <c r="C484" s="2">
        <f>'Client 14'!T12</f>
        <v>0</v>
      </c>
      <c r="D484" s="2">
        <f>'Client 14'!U12</f>
        <v>0</v>
      </c>
      <c r="E484" s="2">
        <f>'Client 14'!V12</f>
        <v>0</v>
      </c>
      <c r="F484" s="350">
        <f>'Client 14'!W12</f>
        <v>0</v>
      </c>
      <c r="G484" s="2">
        <f>'Client 14'!X12</f>
        <v>0</v>
      </c>
      <c r="H484" s="2">
        <f>'Client 14'!Y12</f>
        <v>0</v>
      </c>
      <c r="I484" s="2">
        <f>'Client 14'!Z12</f>
        <v>0</v>
      </c>
      <c r="J484" s="2">
        <f>'Client 14'!AA12</f>
        <v>0</v>
      </c>
      <c r="K484" s="2">
        <f>'Client 14'!AB12</f>
        <v>0</v>
      </c>
      <c r="L484" s="2" cm="1">
        <f t="array" aca="1" ref="L484" ca="1">IF(B484=0,0,INDIRECT("MRN_"&amp;A484))</f>
        <v>0</v>
      </c>
      <c r="M484" s="2">
        <f t="shared" si="93"/>
        <v>0</v>
      </c>
      <c r="N484" s="2" t="str">
        <f t="shared" si="94"/>
        <v>No</v>
      </c>
      <c r="O484" s="2" t="str">
        <f t="shared" si="95"/>
        <v>No</v>
      </c>
      <c r="P484" s="2" t="str" cm="1">
        <f t="array" aca="1" ref="P484" ca="1">IF(OR(INDIRECT("MRN_"&amp;A484)="N/A",B484=0),"No","Yes")</f>
        <v>No</v>
      </c>
    </row>
    <row r="485" spans="1:16" x14ac:dyDescent="0.2">
      <c r="A485" s="68">
        <v>14</v>
      </c>
      <c r="B485" s="349">
        <f>'Client 14'!S13</f>
        <v>0</v>
      </c>
      <c r="C485" s="2">
        <f>'Client 14'!T13</f>
        <v>0</v>
      </c>
      <c r="D485" s="2">
        <f>'Client 14'!U13</f>
        <v>0</v>
      </c>
      <c r="E485" s="2">
        <f>'Client 14'!V13</f>
        <v>0</v>
      </c>
      <c r="F485" s="350">
        <f>'Client 14'!W13</f>
        <v>0</v>
      </c>
      <c r="G485" s="2">
        <f>'Client 14'!X13</f>
        <v>0</v>
      </c>
      <c r="H485" s="2">
        <f>'Client 14'!Y13</f>
        <v>0</v>
      </c>
      <c r="I485" s="2">
        <f>'Client 14'!Z13</f>
        <v>0</v>
      </c>
      <c r="J485" s="2">
        <f>'Client 14'!AA13</f>
        <v>0</v>
      </c>
      <c r="K485" s="2">
        <f>'Client 14'!AB13</f>
        <v>0</v>
      </c>
      <c r="L485" s="2" cm="1">
        <f t="array" aca="1" ref="L485" ca="1">IF(B485=0,0,INDIRECT("MRN_"&amp;A485))</f>
        <v>0</v>
      </c>
      <c r="M485" s="2">
        <f t="shared" si="93"/>
        <v>0</v>
      </c>
      <c r="N485" s="2" t="str">
        <f t="shared" si="94"/>
        <v>No</v>
      </c>
      <c r="O485" s="2" t="str">
        <f t="shared" si="95"/>
        <v>No</v>
      </c>
      <c r="P485" s="2" t="str" cm="1">
        <f t="array" aca="1" ref="P485" ca="1">IF(OR(INDIRECT("MRN_"&amp;A485)="N/A",B485=0),"No","Yes")</f>
        <v>No</v>
      </c>
    </row>
    <row r="486" spans="1:16" x14ac:dyDescent="0.2">
      <c r="A486" s="68">
        <v>14</v>
      </c>
      <c r="B486" s="349">
        <f>'Client 14'!S14</f>
        <v>0</v>
      </c>
      <c r="C486" s="2">
        <f>'Client 14'!T14</f>
        <v>0</v>
      </c>
      <c r="D486" s="2">
        <f>'Client 14'!U14</f>
        <v>0</v>
      </c>
      <c r="E486" s="2">
        <f>'Client 14'!V14</f>
        <v>0</v>
      </c>
      <c r="F486" s="350">
        <f>'Client 14'!W14</f>
        <v>0</v>
      </c>
      <c r="G486" s="2">
        <f>'Client 14'!X14</f>
        <v>0</v>
      </c>
      <c r="H486" s="2">
        <f>'Client 14'!Y14</f>
        <v>0</v>
      </c>
      <c r="I486" s="2">
        <f>'Client 14'!Z14</f>
        <v>0</v>
      </c>
      <c r="J486" s="2">
        <f>'Client 14'!AA14</f>
        <v>0</v>
      </c>
      <c r="K486" s="2">
        <f>'Client 14'!AB14</f>
        <v>0</v>
      </c>
      <c r="L486" s="2" cm="1">
        <f t="array" aca="1" ref="L486" ca="1">IF(B486=0,0,INDIRECT("MRN_"&amp;A486))</f>
        <v>0</v>
      </c>
      <c r="M486" s="2">
        <f t="shared" si="93"/>
        <v>0</v>
      </c>
      <c r="N486" s="2" t="str">
        <f t="shared" si="94"/>
        <v>No</v>
      </c>
      <c r="O486" s="2" t="str">
        <f t="shared" si="95"/>
        <v>No</v>
      </c>
      <c r="P486" s="2" t="str" cm="1">
        <f t="array" aca="1" ref="P486" ca="1">IF(OR(INDIRECT("MRN_"&amp;A486)="N/A",B486=0),"No","Yes")</f>
        <v>No</v>
      </c>
    </row>
    <row r="487" spans="1:16" x14ac:dyDescent="0.2">
      <c r="A487" s="68">
        <v>14</v>
      </c>
      <c r="B487" s="349">
        <f>'Client 14'!S15</f>
        <v>0</v>
      </c>
      <c r="C487" s="2">
        <f>'Client 14'!T15</f>
        <v>0</v>
      </c>
      <c r="D487" s="2">
        <f>'Client 14'!U15</f>
        <v>0</v>
      </c>
      <c r="E487" s="2">
        <f>'Client 14'!V15</f>
        <v>0</v>
      </c>
      <c r="F487" s="350">
        <f>'Client 14'!W15</f>
        <v>0</v>
      </c>
      <c r="G487" s="2">
        <f>'Client 14'!X15</f>
        <v>0</v>
      </c>
      <c r="H487" s="2">
        <f>'Client 14'!Y15</f>
        <v>0</v>
      </c>
      <c r="I487" s="2">
        <f>'Client 14'!Z15</f>
        <v>0</v>
      </c>
      <c r="J487" s="2">
        <f>'Client 14'!AA15</f>
        <v>0</v>
      </c>
      <c r="K487" s="2">
        <f>'Client 14'!AB15</f>
        <v>0</v>
      </c>
      <c r="L487" s="2" cm="1">
        <f t="array" aca="1" ref="L487" ca="1">IF(B487=0,0,INDIRECT("MRN_"&amp;A487))</f>
        <v>0</v>
      </c>
      <c r="M487" s="2">
        <f t="shared" si="93"/>
        <v>0</v>
      </c>
      <c r="N487" s="2" t="str">
        <f t="shared" si="94"/>
        <v>No</v>
      </c>
      <c r="O487" s="2" t="str">
        <f t="shared" si="95"/>
        <v>No</v>
      </c>
      <c r="P487" s="2" t="str" cm="1">
        <f t="array" aca="1" ref="P487" ca="1">IF(OR(INDIRECT("MRN_"&amp;A487)="N/A",B487=0),"No","Yes")</f>
        <v>No</v>
      </c>
    </row>
    <row r="488" spans="1:16" x14ac:dyDescent="0.2">
      <c r="A488" s="68">
        <v>14</v>
      </c>
      <c r="B488" s="349">
        <f>'Client 14'!S16</f>
        <v>0</v>
      </c>
      <c r="C488" s="2">
        <f>'Client 14'!T16</f>
        <v>0</v>
      </c>
      <c r="D488" s="2">
        <f>'Client 14'!U16</f>
        <v>0</v>
      </c>
      <c r="E488" s="2">
        <f>'Client 14'!V16</f>
        <v>0</v>
      </c>
      <c r="F488" s="350">
        <f>'Client 14'!W16</f>
        <v>0</v>
      </c>
      <c r="G488" s="2">
        <f>'Client 14'!X16</f>
        <v>0</v>
      </c>
      <c r="H488" s="2">
        <f>'Client 14'!Y16</f>
        <v>0</v>
      </c>
      <c r="I488" s="2">
        <f>'Client 14'!Z16</f>
        <v>0</v>
      </c>
      <c r="J488" s="2">
        <f>'Client 14'!AA16</f>
        <v>0</v>
      </c>
      <c r="K488" s="2">
        <f>'Client 14'!AB16</f>
        <v>0</v>
      </c>
      <c r="L488" s="2" cm="1">
        <f t="array" aca="1" ref="L488" ca="1">IF(B488=0,0,INDIRECT("MRN_"&amp;A488))</f>
        <v>0</v>
      </c>
      <c r="M488" s="2">
        <f t="shared" si="93"/>
        <v>0</v>
      </c>
      <c r="N488" s="2" t="str">
        <f t="shared" si="94"/>
        <v>No</v>
      </c>
      <c r="O488" s="2" t="str">
        <f t="shared" si="95"/>
        <v>No</v>
      </c>
      <c r="P488" s="2" t="str" cm="1">
        <f t="array" aca="1" ref="P488" ca="1">IF(OR(INDIRECT("MRN_"&amp;A488)="N/A",B488=0),"No","Yes")</f>
        <v>No</v>
      </c>
    </row>
    <row r="489" spans="1:16" x14ac:dyDescent="0.2">
      <c r="A489" s="68">
        <v>14</v>
      </c>
      <c r="B489" s="349">
        <f>'Client 14'!S17</f>
        <v>0</v>
      </c>
      <c r="C489" s="2">
        <f>'Client 14'!T17</f>
        <v>0</v>
      </c>
      <c r="D489" s="2">
        <f>'Client 14'!U17</f>
        <v>0</v>
      </c>
      <c r="E489" s="2">
        <f>'Client 14'!V17</f>
        <v>0</v>
      </c>
      <c r="F489" s="350">
        <f>'Client 14'!W17</f>
        <v>0</v>
      </c>
      <c r="G489" s="2">
        <f>'Client 14'!X17</f>
        <v>0</v>
      </c>
      <c r="H489" s="2">
        <f>'Client 14'!Y17</f>
        <v>0</v>
      </c>
      <c r="I489" s="2">
        <f>'Client 14'!Z17</f>
        <v>0</v>
      </c>
      <c r="J489" s="2">
        <f>'Client 14'!AA17</f>
        <v>0</v>
      </c>
      <c r="K489" s="2">
        <f>'Client 14'!AB17</f>
        <v>0</v>
      </c>
      <c r="L489" s="2" cm="1">
        <f t="array" aca="1" ref="L489" ca="1">IF(B489=0,0,INDIRECT("MRN_"&amp;A489))</f>
        <v>0</v>
      </c>
      <c r="M489" s="2">
        <f t="shared" si="93"/>
        <v>0</v>
      </c>
      <c r="N489" s="2" t="str">
        <f t="shared" si="94"/>
        <v>No</v>
      </c>
      <c r="O489" s="2" t="str">
        <f t="shared" si="95"/>
        <v>No</v>
      </c>
      <c r="P489" s="2" t="str" cm="1">
        <f t="array" aca="1" ref="P489" ca="1">IF(OR(INDIRECT("MRN_"&amp;A489)="N/A",B489=0),"No","Yes")</f>
        <v>No</v>
      </c>
    </row>
    <row r="490" spans="1:16" x14ac:dyDescent="0.2">
      <c r="A490" s="68">
        <v>14</v>
      </c>
      <c r="B490" s="349">
        <f>'Client 14'!S18</f>
        <v>0</v>
      </c>
      <c r="C490" s="2">
        <f>'Client 14'!T18</f>
        <v>0</v>
      </c>
      <c r="D490" s="2">
        <f>'Client 14'!U18</f>
        <v>0</v>
      </c>
      <c r="E490" s="2">
        <f>'Client 14'!V18</f>
        <v>0</v>
      </c>
      <c r="F490" s="350">
        <f>'Client 14'!W18</f>
        <v>0</v>
      </c>
      <c r="G490" s="2">
        <f>'Client 14'!X18</f>
        <v>0</v>
      </c>
      <c r="H490" s="2">
        <f>'Client 14'!Y18</f>
        <v>0</v>
      </c>
      <c r="I490" s="2">
        <f>'Client 14'!Z18</f>
        <v>0</v>
      </c>
      <c r="J490" s="2">
        <f>'Client 14'!AA18</f>
        <v>0</v>
      </c>
      <c r="K490" s="2">
        <f>'Client 14'!AB18</f>
        <v>0</v>
      </c>
      <c r="L490" s="2" cm="1">
        <f t="array" aca="1" ref="L490" ca="1">IF(B490=0,0,INDIRECT("MRN_"&amp;A490))</f>
        <v>0</v>
      </c>
      <c r="M490" s="2">
        <f t="shared" si="93"/>
        <v>0</v>
      </c>
      <c r="N490" s="2" t="str">
        <f t="shared" si="94"/>
        <v>No</v>
      </c>
      <c r="O490" s="2" t="str">
        <f t="shared" si="95"/>
        <v>No</v>
      </c>
      <c r="P490" s="2" t="str" cm="1">
        <f t="array" aca="1" ref="P490" ca="1">IF(OR(INDIRECT("MRN_"&amp;A490)="N/A",B490=0),"No","Yes")</f>
        <v>No</v>
      </c>
    </row>
    <row r="491" spans="1:16" x14ac:dyDescent="0.2">
      <c r="A491" s="68">
        <v>14</v>
      </c>
      <c r="B491" s="349">
        <f>'Client 14'!S19</f>
        <v>0</v>
      </c>
      <c r="C491" s="2">
        <f>'Client 14'!T19</f>
        <v>0</v>
      </c>
      <c r="D491" s="2">
        <f>'Client 14'!U19</f>
        <v>0</v>
      </c>
      <c r="E491" s="2">
        <f>'Client 14'!V19</f>
        <v>0</v>
      </c>
      <c r="F491" s="350">
        <f>'Client 14'!W19</f>
        <v>0</v>
      </c>
      <c r="G491" s="2">
        <f>'Client 14'!X19</f>
        <v>0</v>
      </c>
      <c r="H491" s="2">
        <f>'Client 14'!Y19</f>
        <v>0</v>
      </c>
      <c r="I491" s="2">
        <f>'Client 14'!Z19</f>
        <v>0</v>
      </c>
      <c r="J491" s="2">
        <f>'Client 14'!AA19</f>
        <v>0</v>
      </c>
      <c r="K491" s="2">
        <f>'Client 14'!AB19</f>
        <v>0</v>
      </c>
      <c r="L491" s="2" cm="1">
        <f t="array" aca="1" ref="L491" ca="1">IF(B491=0,0,INDIRECT("MRN_"&amp;A491))</f>
        <v>0</v>
      </c>
      <c r="M491" s="2">
        <f t="shared" si="93"/>
        <v>0</v>
      </c>
      <c r="N491" s="2" t="str">
        <f t="shared" si="94"/>
        <v>No</v>
      </c>
      <c r="O491" s="2" t="str">
        <f t="shared" si="95"/>
        <v>No</v>
      </c>
      <c r="P491" s="2" t="str" cm="1">
        <f t="array" aca="1" ref="P491" ca="1">IF(OR(INDIRECT("MRN_"&amp;A491)="N/A",B491=0),"No","Yes")</f>
        <v>No</v>
      </c>
    </row>
    <row r="492" spans="1:16" x14ac:dyDescent="0.2">
      <c r="A492" s="68">
        <v>14</v>
      </c>
      <c r="B492" s="349">
        <f>'Client 14'!S20</f>
        <v>0</v>
      </c>
      <c r="C492" s="2">
        <f>'Client 14'!T20</f>
        <v>0</v>
      </c>
      <c r="D492" s="2">
        <f>'Client 14'!U20</f>
        <v>0</v>
      </c>
      <c r="E492" s="2">
        <f>'Client 14'!V20</f>
        <v>0</v>
      </c>
      <c r="F492" s="350">
        <f>'Client 14'!W20</f>
        <v>0</v>
      </c>
      <c r="G492" s="2">
        <f>'Client 14'!X20</f>
        <v>0</v>
      </c>
      <c r="H492" s="2">
        <f>'Client 14'!Y20</f>
        <v>0</v>
      </c>
      <c r="I492" s="2">
        <f>'Client 14'!Z20</f>
        <v>0</v>
      </c>
      <c r="J492" s="2">
        <f>'Client 14'!AA20</f>
        <v>0</v>
      </c>
      <c r="K492" s="2">
        <f>'Client 14'!AB20</f>
        <v>0</v>
      </c>
      <c r="L492" s="2" cm="1">
        <f t="array" aca="1" ref="L492" ca="1">IF(B492=0,0,INDIRECT("MRN_"&amp;A492))</f>
        <v>0</v>
      </c>
      <c r="M492" s="2">
        <f t="shared" si="93"/>
        <v>0</v>
      </c>
      <c r="N492" s="2" t="str">
        <f t="shared" si="94"/>
        <v>No</v>
      </c>
      <c r="O492" s="2" t="str">
        <f t="shared" si="95"/>
        <v>No</v>
      </c>
      <c r="P492" s="2" t="str" cm="1">
        <f t="array" aca="1" ref="P492" ca="1">IF(OR(INDIRECT("MRN_"&amp;A492)="N/A",B492=0),"No","Yes")</f>
        <v>No</v>
      </c>
    </row>
    <row r="493" spans="1:16" x14ac:dyDescent="0.2">
      <c r="A493" s="68">
        <v>14</v>
      </c>
      <c r="B493" s="349">
        <f>'Client 14'!S21</f>
        <v>0</v>
      </c>
      <c r="C493" s="2">
        <f>'Client 14'!T21</f>
        <v>0</v>
      </c>
      <c r="D493" s="2">
        <f>'Client 14'!U21</f>
        <v>0</v>
      </c>
      <c r="E493" s="2">
        <f>'Client 14'!V21</f>
        <v>0</v>
      </c>
      <c r="F493" s="350">
        <f>'Client 14'!W21</f>
        <v>0</v>
      </c>
      <c r="G493" s="2">
        <f>'Client 14'!X21</f>
        <v>0</v>
      </c>
      <c r="H493" s="2">
        <f>'Client 14'!Y21</f>
        <v>0</v>
      </c>
      <c r="I493" s="2">
        <f>'Client 14'!Z21</f>
        <v>0</v>
      </c>
      <c r="J493" s="2">
        <f>'Client 14'!AA21</f>
        <v>0</v>
      </c>
      <c r="K493" s="2">
        <f>'Client 14'!AB21</f>
        <v>0</v>
      </c>
      <c r="L493" s="2" cm="1">
        <f t="array" aca="1" ref="L493" ca="1">IF(B493=0,0,INDIRECT("MRN_"&amp;A493))</f>
        <v>0</v>
      </c>
      <c r="M493" s="2">
        <f t="shared" si="93"/>
        <v>0</v>
      </c>
      <c r="N493" s="2" t="str">
        <f t="shared" si="94"/>
        <v>No</v>
      </c>
      <c r="O493" s="2" t="str">
        <f t="shared" si="95"/>
        <v>No</v>
      </c>
      <c r="P493" s="2" t="str" cm="1">
        <f t="array" aca="1" ref="P493" ca="1">IF(OR(INDIRECT("MRN_"&amp;A493)="N/A",B493=0),"No","Yes")</f>
        <v>No</v>
      </c>
    </row>
    <row r="494" spans="1:16" x14ac:dyDescent="0.2">
      <c r="A494" s="68">
        <v>14</v>
      </c>
      <c r="B494" s="349">
        <f>'Client 14'!S22</f>
        <v>0</v>
      </c>
      <c r="C494" s="2">
        <f>'Client 14'!T22</f>
        <v>0</v>
      </c>
      <c r="D494" s="2">
        <f>'Client 14'!U22</f>
        <v>0</v>
      </c>
      <c r="E494" s="2">
        <f>'Client 14'!V22</f>
        <v>0</v>
      </c>
      <c r="F494" s="350">
        <f>'Client 14'!W22</f>
        <v>0</v>
      </c>
      <c r="G494" s="2">
        <f>'Client 14'!X22</f>
        <v>0</v>
      </c>
      <c r="H494" s="2">
        <f>'Client 14'!Y22</f>
        <v>0</v>
      </c>
      <c r="I494" s="2">
        <f>'Client 14'!Z22</f>
        <v>0</v>
      </c>
      <c r="J494" s="2">
        <f>'Client 14'!AA22</f>
        <v>0</v>
      </c>
      <c r="K494" s="2">
        <f>'Client 14'!AB22</f>
        <v>0</v>
      </c>
      <c r="L494" s="2" cm="1">
        <f t="array" aca="1" ref="L494" ca="1">IF(B494=0,0,INDIRECT("MRN_"&amp;A494))</f>
        <v>0</v>
      </c>
      <c r="M494" s="2">
        <f t="shared" si="93"/>
        <v>0</v>
      </c>
      <c r="N494" s="2" t="str">
        <f t="shared" si="94"/>
        <v>No</v>
      </c>
      <c r="O494" s="2" t="str">
        <f t="shared" si="95"/>
        <v>No</v>
      </c>
      <c r="P494" s="2" t="str" cm="1">
        <f t="array" aca="1" ref="P494" ca="1">IF(OR(INDIRECT("MRN_"&amp;A494)="N/A",B494=0),"No","Yes")</f>
        <v>No</v>
      </c>
    </row>
    <row r="495" spans="1:16" x14ac:dyDescent="0.2">
      <c r="A495" s="68">
        <v>14</v>
      </c>
      <c r="B495" s="349">
        <f>'Client 14'!S23</f>
        <v>0</v>
      </c>
      <c r="C495" s="2">
        <f>'Client 14'!T23</f>
        <v>0</v>
      </c>
      <c r="D495" s="2">
        <f>'Client 14'!U23</f>
        <v>0</v>
      </c>
      <c r="E495" s="2">
        <f>'Client 14'!V23</f>
        <v>0</v>
      </c>
      <c r="F495" s="350">
        <f>'Client 14'!W23</f>
        <v>0</v>
      </c>
      <c r="G495" s="2">
        <f>'Client 14'!X23</f>
        <v>0</v>
      </c>
      <c r="H495" s="2">
        <f>'Client 14'!Y23</f>
        <v>0</v>
      </c>
      <c r="I495" s="2">
        <f>'Client 14'!Z23</f>
        <v>0</v>
      </c>
      <c r="J495" s="2">
        <f>'Client 14'!AA23</f>
        <v>0</v>
      </c>
      <c r="K495" s="2">
        <f>'Client 14'!AB23</f>
        <v>0</v>
      </c>
      <c r="L495" s="2" cm="1">
        <f t="array" aca="1" ref="L495" ca="1">IF(B495=0,0,INDIRECT("MRN_"&amp;A495))</f>
        <v>0</v>
      </c>
      <c r="M495" s="2">
        <f t="shared" si="93"/>
        <v>0</v>
      </c>
      <c r="N495" s="2" t="str">
        <f t="shared" si="94"/>
        <v>No</v>
      </c>
      <c r="O495" s="2" t="str">
        <f t="shared" si="95"/>
        <v>No</v>
      </c>
      <c r="P495" s="2" t="str" cm="1">
        <f t="array" aca="1" ref="P495" ca="1">IF(OR(INDIRECT("MRN_"&amp;A495)="N/A",B495=0),"No","Yes")</f>
        <v>No</v>
      </c>
    </row>
    <row r="496" spans="1:16" x14ac:dyDescent="0.2">
      <c r="A496" s="68">
        <v>14</v>
      </c>
      <c r="B496" s="349">
        <f>'Client 14'!S24</f>
        <v>0</v>
      </c>
      <c r="C496" s="2">
        <f>'Client 14'!T24</f>
        <v>0</v>
      </c>
      <c r="D496" s="2">
        <f>'Client 14'!U24</f>
        <v>0</v>
      </c>
      <c r="E496" s="2">
        <f>'Client 14'!V24</f>
        <v>0</v>
      </c>
      <c r="F496" s="350">
        <f>'Client 14'!W24</f>
        <v>0</v>
      </c>
      <c r="G496" s="2">
        <f>'Client 14'!X24</f>
        <v>0</v>
      </c>
      <c r="H496" s="2">
        <f>'Client 14'!Y24</f>
        <v>0</v>
      </c>
      <c r="I496" s="2">
        <f>'Client 14'!Z24</f>
        <v>0</v>
      </c>
      <c r="J496" s="2">
        <f>'Client 14'!AA24</f>
        <v>0</v>
      </c>
      <c r="K496" s="2">
        <f>'Client 14'!AB24</f>
        <v>0</v>
      </c>
      <c r="L496" s="2" cm="1">
        <f t="array" aca="1" ref="L496" ca="1">IF(B496=0,0,INDIRECT("MRN_"&amp;A496))</f>
        <v>0</v>
      </c>
      <c r="M496" s="2">
        <f t="shared" si="93"/>
        <v>0</v>
      </c>
      <c r="N496" s="2" t="str">
        <f t="shared" si="94"/>
        <v>No</v>
      </c>
      <c r="O496" s="2" t="str">
        <f t="shared" si="95"/>
        <v>No</v>
      </c>
      <c r="P496" s="2" t="str" cm="1">
        <f t="array" aca="1" ref="P496" ca="1">IF(OR(INDIRECT("MRN_"&amp;A496)="N/A",B496=0),"No","Yes")</f>
        <v>No</v>
      </c>
    </row>
    <row r="497" spans="1:16" x14ac:dyDescent="0.2">
      <c r="A497" s="68">
        <v>14</v>
      </c>
      <c r="B497" s="349">
        <f>'Client 14'!S25</f>
        <v>0</v>
      </c>
      <c r="C497" s="2">
        <f>'Client 14'!T25</f>
        <v>0</v>
      </c>
      <c r="D497" s="2">
        <f>'Client 14'!U25</f>
        <v>0</v>
      </c>
      <c r="E497" s="2">
        <f>'Client 14'!V25</f>
        <v>0</v>
      </c>
      <c r="F497" s="350">
        <f>'Client 14'!W25</f>
        <v>0</v>
      </c>
      <c r="G497" s="2">
        <f>'Client 14'!X25</f>
        <v>0</v>
      </c>
      <c r="H497" s="2">
        <f>'Client 14'!Y25</f>
        <v>0</v>
      </c>
      <c r="I497" s="2">
        <f>'Client 14'!Z25</f>
        <v>0</v>
      </c>
      <c r="J497" s="2">
        <f>'Client 14'!AA25</f>
        <v>0</v>
      </c>
      <c r="K497" s="2">
        <f>'Client 14'!AB25</f>
        <v>0</v>
      </c>
      <c r="L497" s="2" cm="1">
        <f t="array" aca="1" ref="L497" ca="1">IF(B497=0,0,INDIRECT("MRN_"&amp;A497))</f>
        <v>0</v>
      </c>
      <c r="M497" s="2">
        <f t="shared" si="93"/>
        <v>0</v>
      </c>
      <c r="N497" s="2" t="str">
        <f t="shared" si="94"/>
        <v>No</v>
      </c>
      <c r="O497" s="2" t="str">
        <f t="shared" si="95"/>
        <v>No</v>
      </c>
      <c r="P497" s="2" t="str" cm="1">
        <f t="array" aca="1" ref="P497" ca="1">IF(OR(INDIRECT("MRN_"&amp;A497)="N/A",B497=0),"No","Yes")</f>
        <v>No</v>
      </c>
    </row>
    <row r="498" spans="1:16" x14ac:dyDescent="0.2">
      <c r="A498" s="68">
        <v>14</v>
      </c>
      <c r="B498" s="349">
        <f>'Client 14'!S26</f>
        <v>0</v>
      </c>
      <c r="C498" s="2">
        <f>'Client 14'!T26</f>
        <v>0</v>
      </c>
      <c r="D498" s="2">
        <f>'Client 14'!U26</f>
        <v>0</v>
      </c>
      <c r="E498" s="2">
        <f>'Client 14'!V26</f>
        <v>0</v>
      </c>
      <c r="F498" s="350">
        <f>'Client 14'!W26</f>
        <v>0</v>
      </c>
      <c r="G498" s="2">
        <f>'Client 14'!X26</f>
        <v>0</v>
      </c>
      <c r="H498" s="2">
        <f>'Client 14'!Y26</f>
        <v>0</v>
      </c>
      <c r="I498" s="2">
        <f>'Client 14'!Z26</f>
        <v>0</v>
      </c>
      <c r="J498" s="2">
        <f>'Client 14'!AA26</f>
        <v>0</v>
      </c>
      <c r="K498" s="2">
        <f>'Client 14'!AB26</f>
        <v>0</v>
      </c>
      <c r="L498" s="2" cm="1">
        <f t="array" aca="1" ref="L498" ca="1">IF(B498=0,0,INDIRECT("MRN_"&amp;A498))</f>
        <v>0</v>
      </c>
      <c r="M498" s="2">
        <f t="shared" si="93"/>
        <v>0</v>
      </c>
      <c r="N498" s="2" t="str">
        <f t="shared" si="94"/>
        <v>No</v>
      </c>
      <c r="O498" s="2" t="str">
        <f t="shared" si="95"/>
        <v>No</v>
      </c>
      <c r="P498" s="2" t="str" cm="1">
        <f t="array" aca="1" ref="P498" ca="1">IF(OR(INDIRECT("MRN_"&amp;A498)="N/A",B498=0),"No","Yes")</f>
        <v>No</v>
      </c>
    </row>
    <row r="499" spans="1:16" x14ac:dyDescent="0.2">
      <c r="A499" s="68">
        <v>14</v>
      </c>
      <c r="B499" s="349">
        <f>'Client 14'!S27</f>
        <v>0</v>
      </c>
      <c r="C499" s="2">
        <f>'Client 14'!T27</f>
        <v>0</v>
      </c>
      <c r="D499" s="2">
        <f>'Client 14'!U27</f>
        <v>0</v>
      </c>
      <c r="E499" s="2">
        <f>'Client 14'!V27</f>
        <v>0</v>
      </c>
      <c r="F499" s="350">
        <f>'Client 14'!W27</f>
        <v>0</v>
      </c>
      <c r="G499" s="2">
        <f>'Client 14'!X27</f>
        <v>0</v>
      </c>
      <c r="H499" s="2">
        <f>'Client 14'!Y27</f>
        <v>0</v>
      </c>
      <c r="I499" s="2">
        <f>'Client 14'!Z27</f>
        <v>0</v>
      </c>
      <c r="J499" s="2">
        <f>'Client 14'!AA27</f>
        <v>0</v>
      </c>
      <c r="K499" s="2">
        <f>'Client 14'!AB27</f>
        <v>0</v>
      </c>
      <c r="L499" s="2" cm="1">
        <f t="array" aca="1" ref="L499" ca="1">IF(B499=0,0,INDIRECT("MRN_"&amp;A499))</f>
        <v>0</v>
      </c>
      <c r="M499" s="2">
        <f t="shared" si="93"/>
        <v>0</v>
      </c>
      <c r="N499" s="2" t="str">
        <f t="shared" si="94"/>
        <v>No</v>
      </c>
      <c r="O499" s="2" t="str">
        <f t="shared" si="95"/>
        <v>No</v>
      </c>
      <c r="P499" s="2" t="str" cm="1">
        <f t="array" aca="1" ref="P499" ca="1">IF(OR(INDIRECT("MRN_"&amp;A499)="N/A",B499=0),"No","Yes")</f>
        <v>No</v>
      </c>
    </row>
    <row r="500" spans="1:16" x14ac:dyDescent="0.2">
      <c r="A500" s="68">
        <v>14</v>
      </c>
      <c r="B500" s="349">
        <f>'Client 14'!S28</f>
        <v>0</v>
      </c>
      <c r="C500" s="2">
        <f>'Client 14'!T28</f>
        <v>0</v>
      </c>
      <c r="D500" s="2">
        <f>'Client 14'!U28</f>
        <v>0</v>
      </c>
      <c r="E500" s="2">
        <f>'Client 14'!V28</f>
        <v>0</v>
      </c>
      <c r="F500" s="350">
        <f>'Client 14'!W28</f>
        <v>0</v>
      </c>
      <c r="G500" s="2">
        <f>'Client 14'!X28</f>
        <v>0</v>
      </c>
      <c r="H500" s="2">
        <f>'Client 14'!Y28</f>
        <v>0</v>
      </c>
      <c r="I500" s="2">
        <f>'Client 14'!Z28</f>
        <v>0</v>
      </c>
      <c r="J500" s="2">
        <f>'Client 14'!AA28</f>
        <v>0</v>
      </c>
      <c r="K500" s="2">
        <f>'Client 14'!AB28</f>
        <v>0</v>
      </c>
      <c r="L500" s="2" cm="1">
        <f t="array" aca="1" ref="L500" ca="1">IF(B500=0,0,INDIRECT("MRN_"&amp;A500))</f>
        <v>0</v>
      </c>
      <c r="M500" s="2">
        <f t="shared" si="93"/>
        <v>0</v>
      </c>
      <c r="N500" s="2" t="str">
        <f t="shared" si="94"/>
        <v>No</v>
      </c>
      <c r="O500" s="2" t="str">
        <f t="shared" si="95"/>
        <v>No</v>
      </c>
      <c r="P500" s="2" t="str" cm="1">
        <f t="array" aca="1" ref="P500" ca="1">IF(OR(INDIRECT("MRN_"&amp;A500)="N/A",B500=0),"No","Yes")</f>
        <v>No</v>
      </c>
    </row>
    <row r="501" spans="1:16" x14ac:dyDescent="0.2">
      <c r="A501" s="68">
        <v>14</v>
      </c>
      <c r="B501" s="349">
        <f>'Client 14'!S29</f>
        <v>0</v>
      </c>
      <c r="C501" s="2">
        <f>'Client 14'!T29</f>
        <v>0</v>
      </c>
      <c r="D501" s="2">
        <f>'Client 14'!U29</f>
        <v>0</v>
      </c>
      <c r="E501" s="2">
        <f>'Client 14'!V29</f>
        <v>0</v>
      </c>
      <c r="F501" s="350">
        <f>'Client 14'!W29</f>
        <v>0</v>
      </c>
      <c r="G501" s="2">
        <f>'Client 14'!X29</f>
        <v>0</v>
      </c>
      <c r="H501" s="2">
        <f>'Client 14'!Y29</f>
        <v>0</v>
      </c>
      <c r="I501" s="2">
        <f>'Client 14'!Z29</f>
        <v>0</v>
      </c>
      <c r="J501" s="2">
        <f>'Client 14'!AA29</f>
        <v>0</v>
      </c>
      <c r="K501" s="2">
        <f>'Client 14'!AB29</f>
        <v>0</v>
      </c>
      <c r="L501" s="2" cm="1">
        <f t="array" aca="1" ref="L501" ca="1">IF(B501=0,0,INDIRECT("MRN_"&amp;A501))</f>
        <v>0</v>
      </c>
      <c r="M501" s="2">
        <f t="shared" si="93"/>
        <v>0</v>
      </c>
      <c r="N501" s="2" t="str">
        <f t="shared" si="94"/>
        <v>No</v>
      </c>
      <c r="O501" s="2" t="str">
        <f t="shared" si="95"/>
        <v>No</v>
      </c>
      <c r="P501" s="2" t="str" cm="1">
        <f t="array" aca="1" ref="P501" ca="1">IF(OR(INDIRECT("MRN_"&amp;A501)="N/A",B501=0),"No","Yes")</f>
        <v>No</v>
      </c>
    </row>
    <row r="502" spans="1:16" x14ac:dyDescent="0.2">
      <c r="A502" s="68">
        <v>14</v>
      </c>
      <c r="B502" s="349">
        <f>'Client 14'!S30</f>
        <v>0</v>
      </c>
      <c r="C502" s="2">
        <f>'Client 14'!T30</f>
        <v>0</v>
      </c>
      <c r="D502" s="2">
        <f>'Client 14'!U30</f>
        <v>0</v>
      </c>
      <c r="E502" s="2">
        <f>'Client 14'!V30</f>
        <v>0</v>
      </c>
      <c r="F502" s="350">
        <f>'Client 14'!W30</f>
        <v>0</v>
      </c>
      <c r="G502" s="2">
        <f>'Client 14'!X30</f>
        <v>0</v>
      </c>
      <c r="H502" s="2">
        <f>'Client 14'!Y30</f>
        <v>0</v>
      </c>
      <c r="I502" s="2">
        <f>'Client 14'!Z30</f>
        <v>0</v>
      </c>
      <c r="J502" s="2">
        <f>'Client 14'!AA30</f>
        <v>0</v>
      </c>
      <c r="K502" s="2">
        <f>'Client 14'!AB30</f>
        <v>0</v>
      </c>
      <c r="L502" s="2" cm="1">
        <f t="array" aca="1" ref="L502" ca="1">IF(B502=0,0,INDIRECT("MRN_"&amp;A502))</f>
        <v>0</v>
      </c>
      <c r="M502" s="2">
        <f t="shared" si="93"/>
        <v>0</v>
      </c>
      <c r="N502" s="2" t="str">
        <f t="shared" si="94"/>
        <v>No</v>
      </c>
      <c r="O502" s="2" t="str">
        <f t="shared" si="95"/>
        <v>No</v>
      </c>
      <c r="P502" s="2" t="str" cm="1">
        <f t="array" aca="1" ref="P502" ca="1">IF(OR(INDIRECT("MRN_"&amp;A502)="N/A",B502=0),"No","Yes")</f>
        <v>No</v>
      </c>
    </row>
    <row r="503" spans="1:16" x14ac:dyDescent="0.2">
      <c r="A503" s="68">
        <v>14</v>
      </c>
      <c r="B503" s="349">
        <f>'Client 14'!S31</f>
        <v>0</v>
      </c>
      <c r="C503" s="2">
        <f>'Client 14'!T31</f>
        <v>0</v>
      </c>
      <c r="D503" s="2">
        <f>'Client 14'!U31</f>
        <v>0</v>
      </c>
      <c r="E503" s="2">
        <f>'Client 14'!V31</f>
        <v>0</v>
      </c>
      <c r="F503" s="350">
        <f>'Client 14'!W31</f>
        <v>0</v>
      </c>
      <c r="G503" s="2">
        <f>'Client 14'!X31</f>
        <v>0</v>
      </c>
      <c r="H503" s="2">
        <f>'Client 14'!Y31</f>
        <v>0</v>
      </c>
      <c r="I503" s="2">
        <f>'Client 14'!Z31</f>
        <v>0</v>
      </c>
      <c r="J503" s="2">
        <f>'Client 14'!AA31</f>
        <v>0</v>
      </c>
      <c r="K503" s="2">
        <f>'Client 14'!AB31</f>
        <v>0</v>
      </c>
      <c r="L503" s="2" cm="1">
        <f t="array" aca="1" ref="L503" ca="1">IF(B503=0,0,INDIRECT("MRN_"&amp;A503))</f>
        <v>0</v>
      </c>
      <c r="M503" s="2">
        <f t="shared" si="93"/>
        <v>0</v>
      </c>
      <c r="N503" s="2" t="str">
        <f t="shared" si="94"/>
        <v>No</v>
      </c>
      <c r="O503" s="2" t="str">
        <f t="shared" si="95"/>
        <v>No</v>
      </c>
      <c r="P503" s="2" t="str" cm="1">
        <f t="array" aca="1" ref="P503" ca="1">IF(OR(INDIRECT("MRN_"&amp;A503)="N/A",B503=0),"No","Yes")</f>
        <v>No</v>
      </c>
    </row>
    <row r="504" spans="1:16" x14ac:dyDescent="0.2">
      <c r="A504" s="68">
        <v>14</v>
      </c>
      <c r="B504" s="349">
        <f>'Client 14'!S32</f>
        <v>0</v>
      </c>
      <c r="C504" s="2">
        <f>'Client 14'!T32</f>
        <v>0</v>
      </c>
      <c r="D504" s="2">
        <f>'Client 14'!U32</f>
        <v>0</v>
      </c>
      <c r="E504" s="2">
        <f>'Client 14'!V32</f>
        <v>0</v>
      </c>
      <c r="F504" s="350">
        <f>'Client 14'!W32</f>
        <v>0</v>
      </c>
      <c r="G504" s="2">
        <f>'Client 14'!X32</f>
        <v>0</v>
      </c>
      <c r="H504" s="2">
        <f>'Client 14'!Y32</f>
        <v>0</v>
      </c>
      <c r="I504" s="2">
        <f>'Client 14'!Z32</f>
        <v>0</v>
      </c>
      <c r="J504" s="2">
        <f>'Client 14'!AA32</f>
        <v>0</v>
      </c>
      <c r="K504" s="2">
        <f>'Client 14'!AB32</f>
        <v>0</v>
      </c>
      <c r="L504" s="2" cm="1">
        <f t="array" aca="1" ref="L504" ca="1">IF(B504=0,0,INDIRECT("MRN_"&amp;A504))</f>
        <v>0</v>
      </c>
      <c r="M504" s="2">
        <f t="shared" si="93"/>
        <v>0</v>
      </c>
      <c r="N504" s="2" t="str">
        <f t="shared" si="94"/>
        <v>No</v>
      </c>
      <c r="O504" s="2" t="str">
        <f t="shared" si="95"/>
        <v>No</v>
      </c>
      <c r="P504" s="2" t="str" cm="1">
        <f t="array" aca="1" ref="P504" ca="1">IF(OR(INDIRECT("MRN_"&amp;A504)="N/A",B504=0),"No","Yes")</f>
        <v>No</v>
      </c>
    </row>
    <row r="505" spans="1:16" x14ac:dyDescent="0.2">
      <c r="A505" s="68">
        <v>14</v>
      </c>
      <c r="B505" s="349">
        <f>'Client 14'!S33</f>
        <v>0</v>
      </c>
      <c r="C505" s="2">
        <f>'Client 14'!T33</f>
        <v>0</v>
      </c>
      <c r="D505" s="2">
        <f>'Client 14'!U33</f>
        <v>0</v>
      </c>
      <c r="E505" s="2">
        <f>'Client 14'!V33</f>
        <v>0</v>
      </c>
      <c r="F505" s="350">
        <f>'Client 14'!W33</f>
        <v>0</v>
      </c>
      <c r="G505" s="2">
        <f>'Client 14'!X33</f>
        <v>0</v>
      </c>
      <c r="H505" s="2">
        <f>'Client 14'!Y33</f>
        <v>0</v>
      </c>
      <c r="I505" s="2">
        <f>'Client 14'!Z33</f>
        <v>0</v>
      </c>
      <c r="J505" s="2">
        <f>'Client 14'!AA33</f>
        <v>0</v>
      </c>
      <c r="K505" s="2">
        <f>'Client 14'!AB33</f>
        <v>0</v>
      </c>
      <c r="L505" s="2" cm="1">
        <f t="array" aca="1" ref="L505" ca="1">IF(B505=0,0,INDIRECT("MRN_"&amp;A505))</f>
        <v>0</v>
      </c>
      <c r="M505" s="2">
        <f t="shared" si="93"/>
        <v>0</v>
      </c>
      <c r="N505" s="2" t="str">
        <f t="shared" si="94"/>
        <v>No</v>
      </c>
      <c r="O505" s="2" t="str">
        <f t="shared" si="95"/>
        <v>No</v>
      </c>
      <c r="P505" s="2" t="str" cm="1">
        <f t="array" aca="1" ref="P505" ca="1">IF(OR(INDIRECT("MRN_"&amp;A505)="N/A",B505=0),"No","Yes")</f>
        <v>No</v>
      </c>
    </row>
    <row r="506" spans="1:16" x14ac:dyDescent="0.2">
      <c r="A506" s="68">
        <v>14</v>
      </c>
      <c r="B506" s="349">
        <f>'Client 14'!S34</f>
        <v>0</v>
      </c>
      <c r="C506" s="2">
        <f>'Client 14'!T34</f>
        <v>0</v>
      </c>
      <c r="D506" s="2">
        <f>'Client 14'!U34</f>
        <v>0</v>
      </c>
      <c r="E506" s="2">
        <f>'Client 14'!V34</f>
        <v>0</v>
      </c>
      <c r="F506" s="350">
        <f>'Client 14'!W34</f>
        <v>0</v>
      </c>
      <c r="G506" s="2">
        <f>'Client 14'!X34</f>
        <v>0</v>
      </c>
      <c r="H506" s="2">
        <f>'Client 14'!Y34</f>
        <v>0</v>
      </c>
      <c r="I506" s="2">
        <f>'Client 14'!Z34</f>
        <v>0</v>
      </c>
      <c r="J506" s="2">
        <f>'Client 14'!AA34</f>
        <v>0</v>
      </c>
      <c r="K506" s="2">
        <f>'Client 14'!AB34</f>
        <v>0</v>
      </c>
      <c r="L506" s="2" cm="1">
        <f t="array" aca="1" ref="L506" ca="1">IF(B506=0,0,INDIRECT("MRN_"&amp;A506))</f>
        <v>0</v>
      </c>
      <c r="M506" s="2">
        <f t="shared" si="93"/>
        <v>0</v>
      </c>
      <c r="N506" s="2" t="str">
        <f t="shared" si="94"/>
        <v>No</v>
      </c>
      <c r="O506" s="2" t="str">
        <f t="shared" si="95"/>
        <v>No</v>
      </c>
      <c r="P506" s="2" t="str" cm="1">
        <f t="array" aca="1" ref="P506" ca="1">IF(OR(INDIRECT("MRN_"&amp;A506)="N/A",B506=0),"No","Yes")</f>
        <v>No</v>
      </c>
    </row>
    <row r="507" spans="1:16" x14ac:dyDescent="0.2">
      <c r="A507" s="68">
        <v>14</v>
      </c>
      <c r="B507" s="349">
        <f>'Client 14'!S35</f>
        <v>0</v>
      </c>
      <c r="C507" s="2">
        <f>'Client 14'!T35</f>
        <v>0</v>
      </c>
      <c r="D507" s="2">
        <f>'Client 14'!U35</f>
        <v>0</v>
      </c>
      <c r="E507" s="2">
        <f>'Client 14'!V35</f>
        <v>0</v>
      </c>
      <c r="F507" s="350">
        <f>'Client 14'!W35</f>
        <v>0</v>
      </c>
      <c r="G507" s="2">
        <f>'Client 14'!X35</f>
        <v>0</v>
      </c>
      <c r="H507" s="2">
        <f>'Client 14'!Y35</f>
        <v>0</v>
      </c>
      <c r="I507" s="2">
        <f>'Client 14'!Z35</f>
        <v>0</v>
      </c>
      <c r="J507" s="2">
        <f>'Client 14'!AA35</f>
        <v>0</v>
      </c>
      <c r="K507" s="2">
        <f>'Client 14'!AB35</f>
        <v>0</v>
      </c>
      <c r="L507" s="2" cm="1">
        <f t="array" aca="1" ref="L507" ca="1">IF(B507=0,0,INDIRECT("MRN_"&amp;A507))</f>
        <v>0</v>
      </c>
      <c r="M507" s="2">
        <f t="shared" si="93"/>
        <v>0</v>
      </c>
      <c r="N507" s="2" t="str">
        <f t="shared" si="94"/>
        <v>No</v>
      </c>
      <c r="O507" s="2" t="str">
        <f t="shared" si="95"/>
        <v>No</v>
      </c>
      <c r="P507" s="2" t="str" cm="1">
        <f t="array" aca="1" ref="P507" ca="1">IF(OR(INDIRECT("MRN_"&amp;A507)="N/A",B507=0),"No","Yes")</f>
        <v>No</v>
      </c>
    </row>
    <row r="508" spans="1:16" x14ac:dyDescent="0.2">
      <c r="A508" s="68">
        <v>14</v>
      </c>
      <c r="B508" s="349">
        <f>'Client 14'!S36</f>
        <v>0</v>
      </c>
      <c r="C508" s="2">
        <f>'Client 14'!T36</f>
        <v>0</v>
      </c>
      <c r="D508" s="2">
        <f>'Client 14'!U36</f>
        <v>0</v>
      </c>
      <c r="E508" s="2">
        <f>'Client 14'!V36</f>
        <v>0</v>
      </c>
      <c r="F508" s="350">
        <f>'Client 14'!W36</f>
        <v>0</v>
      </c>
      <c r="G508" s="2">
        <f>'Client 14'!X36</f>
        <v>0</v>
      </c>
      <c r="H508" s="2">
        <f>'Client 14'!Y36</f>
        <v>0</v>
      </c>
      <c r="I508" s="2">
        <f>'Client 14'!Z36</f>
        <v>0</v>
      </c>
      <c r="J508" s="2">
        <f>'Client 14'!AA36</f>
        <v>0</v>
      </c>
      <c r="K508" s="2">
        <f>'Client 14'!AB36</f>
        <v>0</v>
      </c>
      <c r="L508" s="2" cm="1">
        <f t="array" aca="1" ref="L508" ca="1">IF(B508=0,0,INDIRECT("MRN_"&amp;A508))</f>
        <v>0</v>
      </c>
      <c r="M508" s="2">
        <f t="shared" si="93"/>
        <v>0</v>
      </c>
      <c r="N508" s="2" t="str">
        <f t="shared" si="94"/>
        <v>No</v>
      </c>
      <c r="O508" s="2" t="str">
        <f t="shared" si="95"/>
        <v>No</v>
      </c>
      <c r="P508" s="2" t="str" cm="1">
        <f t="array" aca="1" ref="P508" ca="1">IF(OR(INDIRECT("MRN_"&amp;A508)="N/A",B508=0),"No","Yes")</f>
        <v>No</v>
      </c>
    </row>
    <row r="509" spans="1:16" x14ac:dyDescent="0.2">
      <c r="A509" s="68">
        <v>14</v>
      </c>
      <c r="B509" s="349">
        <f>'Client 14'!S37</f>
        <v>0</v>
      </c>
      <c r="C509" s="2">
        <f>'Client 14'!T37</f>
        <v>0</v>
      </c>
      <c r="D509" s="2">
        <f>'Client 14'!U37</f>
        <v>0</v>
      </c>
      <c r="E509" s="2">
        <f>'Client 14'!V37</f>
        <v>0</v>
      </c>
      <c r="F509" s="350">
        <f>'Client 14'!W37</f>
        <v>0</v>
      </c>
      <c r="G509" s="2">
        <f>'Client 14'!X37</f>
        <v>0</v>
      </c>
      <c r="H509" s="2">
        <f>'Client 14'!Y37</f>
        <v>0</v>
      </c>
      <c r="I509" s="2">
        <f>'Client 14'!Z37</f>
        <v>0</v>
      </c>
      <c r="J509" s="2">
        <f>'Client 14'!AA37</f>
        <v>0</v>
      </c>
      <c r="K509" s="2">
        <f>'Client 14'!AB37</f>
        <v>0</v>
      </c>
      <c r="L509" s="2" cm="1">
        <f t="array" aca="1" ref="L509" ca="1">IF(B509=0,0,INDIRECT("MRN_"&amp;A509))</f>
        <v>0</v>
      </c>
      <c r="M509" s="2">
        <f t="shared" si="93"/>
        <v>0</v>
      </c>
      <c r="N509" s="2" t="str">
        <f t="shared" si="94"/>
        <v>No</v>
      </c>
      <c r="O509" s="2" t="str">
        <f t="shared" si="95"/>
        <v>No</v>
      </c>
      <c r="P509" s="2" t="str" cm="1">
        <f t="array" aca="1" ref="P509" ca="1">IF(OR(INDIRECT("MRN_"&amp;A509)="N/A",B509=0),"No","Yes")</f>
        <v>No</v>
      </c>
    </row>
    <row r="510" spans="1:16" x14ac:dyDescent="0.2">
      <c r="A510" s="68">
        <v>14</v>
      </c>
      <c r="B510" s="349">
        <f>'Client 14'!S38</f>
        <v>0</v>
      </c>
      <c r="C510" s="2">
        <f>'Client 14'!T38</f>
        <v>0</v>
      </c>
      <c r="D510" s="2">
        <f>'Client 14'!U38</f>
        <v>0</v>
      </c>
      <c r="E510" s="2">
        <f>'Client 14'!V38</f>
        <v>0</v>
      </c>
      <c r="F510" s="350">
        <f>'Client 14'!W38</f>
        <v>0</v>
      </c>
      <c r="G510" s="2">
        <f>'Client 14'!X38</f>
        <v>0</v>
      </c>
      <c r="H510" s="2">
        <f>'Client 14'!Y38</f>
        <v>0</v>
      </c>
      <c r="I510" s="2">
        <f>'Client 14'!Z38</f>
        <v>0</v>
      </c>
      <c r="J510" s="2">
        <f>'Client 14'!AA38</f>
        <v>0</v>
      </c>
      <c r="K510" s="2">
        <f>'Client 14'!AB38</f>
        <v>0</v>
      </c>
      <c r="L510" s="2" cm="1">
        <f t="array" aca="1" ref="L510" ca="1">IF(B510=0,0,INDIRECT("MRN_"&amp;A510))</f>
        <v>0</v>
      </c>
      <c r="M510" s="2">
        <f t="shared" si="93"/>
        <v>0</v>
      </c>
      <c r="N510" s="2" t="str">
        <f t="shared" si="94"/>
        <v>No</v>
      </c>
      <c r="O510" s="2" t="str">
        <f t="shared" si="95"/>
        <v>No</v>
      </c>
      <c r="P510" s="2" t="str" cm="1">
        <f t="array" aca="1" ref="P510" ca="1">IF(OR(INDIRECT("MRN_"&amp;A510)="N/A",B510=0),"No","Yes")</f>
        <v>No</v>
      </c>
    </row>
    <row r="511" spans="1:16" x14ac:dyDescent="0.2">
      <c r="A511" s="68">
        <v>15</v>
      </c>
      <c r="B511" s="349">
        <f>'Client 15'!S9</f>
        <v>0</v>
      </c>
      <c r="C511" s="2">
        <f>'Client 15'!T9</f>
        <v>0</v>
      </c>
      <c r="D511" s="2">
        <f>'Client 15'!U9</f>
        <v>0</v>
      </c>
      <c r="E511" s="2">
        <f>'Client 15'!V9</f>
        <v>0</v>
      </c>
      <c r="F511" s="350">
        <f>'Client 15'!W9</f>
        <v>0</v>
      </c>
      <c r="G511" s="2">
        <f>'Client 15'!X9</f>
        <v>0</v>
      </c>
      <c r="H511" s="2">
        <f>'Client 15'!Y9</f>
        <v>0</v>
      </c>
      <c r="I511" s="2">
        <f>'Client 15'!Z9</f>
        <v>0</v>
      </c>
      <c r="J511" s="2">
        <f>'Client 15'!AA9</f>
        <v>0</v>
      </c>
      <c r="K511" s="2">
        <f>'Client 15'!AB9</f>
        <v>0</v>
      </c>
      <c r="L511" s="2" cm="1">
        <f t="array" aca="1" ref="L511" ca="1">IF(B511=0,0,INDIRECT("MRN_"&amp;A511))</f>
        <v>0</v>
      </c>
      <c r="M511" s="2">
        <f t="shared" si="93"/>
        <v>0</v>
      </c>
      <c r="N511" s="2" t="str">
        <f t="shared" si="94"/>
        <v>No</v>
      </c>
      <c r="O511" s="2" t="str">
        <f t="shared" si="95"/>
        <v>No</v>
      </c>
      <c r="P511" s="2" t="str" cm="1">
        <f t="array" aca="1" ref="P511" ca="1">IF(OR(INDIRECT("MRN_"&amp;A511)="N/A",B511=0),"No","Yes")</f>
        <v>No</v>
      </c>
    </row>
    <row r="512" spans="1:16" x14ac:dyDescent="0.2">
      <c r="A512" s="68">
        <v>15</v>
      </c>
      <c r="B512" s="349">
        <f>'Client 15'!S10</f>
        <v>0</v>
      </c>
      <c r="C512" s="2">
        <f>'Client 15'!T10</f>
        <v>0</v>
      </c>
      <c r="D512" s="2">
        <f>'Client 15'!U10</f>
        <v>0</v>
      </c>
      <c r="E512" s="2">
        <f>'Client 15'!V10</f>
        <v>0</v>
      </c>
      <c r="F512" s="350">
        <f>'Client 15'!W10</f>
        <v>0</v>
      </c>
      <c r="G512" s="2">
        <f>'Client 15'!X10</f>
        <v>0</v>
      </c>
      <c r="H512" s="2">
        <f>'Client 15'!Y10</f>
        <v>0</v>
      </c>
      <c r="I512" s="2">
        <f>'Client 15'!Z10</f>
        <v>0</v>
      </c>
      <c r="J512" s="2">
        <f>'Client 15'!AA10</f>
        <v>0</v>
      </c>
      <c r="K512" s="2">
        <f>'Client 15'!AB10</f>
        <v>0</v>
      </c>
      <c r="L512" s="2" cm="1">
        <f t="array" aca="1" ref="L512" ca="1">IF(B512=0,0,INDIRECT("MRN_"&amp;A512))</f>
        <v>0</v>
      </c>
      <c r="M512" s="2">
        <f t="shared" si="93"/>
        <v>0</v>
      </c>
      <c r="N512" s="2" t="str">
        <f t="shared" si="94"/>
        <v>No</v>
      </c>
      <c r="O512" s="2" t="str">
        <f t="shared" si="95"/>
        <v>No</v>
      </c>
      <c r="P512" s="2" t="str" cm="1">
        <f t="array" aca="1" ref="P512" ca="1">IF(OR(INDIRECT("MRN_"&amp;A512)="N/A",B512=0),"No","Yes")</f>
        <v>No</v>
      </c>
    </row>
    <row r="513" spans="1:16" x14ac:dyDescent="0.2">
      <c r="A513" s="68">
        <v>15</v>
      </c>
      <c r="B513" s="349">
        <f>'Client 15'!S11</f>
        <v>0</v>
      </c>
      <c r="C513" s="2">
        <f>'Client 15'!T11</f>
        <v>0</v>
      </c>
      <c r="D513" s="2">
        <f>'Client 15'!U11</f>
        <v>0</v>
      </c>
      <c r="E513" s="2">
        <f>'Client 15'!V11</f>
        <v>0</v>
      </c>
      <c r="F513" s="350">
        <f>'Client 15'!W11</f>
        <v>0</v>
      </c>
      <c r="G513" s="2">
        <f>'Client 15'!X11</f>
        <v>0</v>
      </c>
      <c r="H513" s="2">
        <f>'Client 15'!Y11</f>
        <v>0</v>
      </c>
      <c r="I513" s="2">
        <f>'Client 15'!Z11</f>
        <v>0</v>
      </c>
      <c r="J513" s="2">
        <f>'Client 15'!AA11</f>
        <v>0</v>
      </c>
      <c r="K513" s="2">
        <f>'Client 15'!AB11</f>
        <v>0</v>
      </c>
      <c r="L513" s="2" cm="1">
        <f t="array" aca="1" ref="L513" ca="1">IF(B513=0,0,INDIRECT("MRN_"&amp;A513))</f>
        <v>0</v>
      </c>
      <c r="M513" s="2">
        <f t="shared" si="93"/>
        <v>0</v>
      </c>
      <c r="N513" s="2" t="str">
        <f t="shared" si="94"/>
        <v>No</v>
      </c>
      <c r="O513" s="2" t="str">
        <f t="shared" si="95"/>
        <v>No</v>
      </c>
      <c r="P513" s="2" t="str" cm="1">
        <f t="array" aca="1" ref="P513" ca="1">IF(OR(INDIRECT("MRN_"&amp;A513)="N/A",B513=0),"No","Yes")</f>
        <v>No</v>
      </c>
    </row>
    <row r="514" spans="1:16" x14ac:dyDescent="0.2">
      <c r="A514" s="68">
        <v>15</v>
      </c>
      <c r="B514" s="349">
        <f>'Client 15'!S12</f>
        <v>0</v>
      </c>
      <c r="C514" s="2">
        <f>'Client 15'!T12</f>
        <v>0</v>
      </c>
      <c r="D514" s="2">
        <f>'Client 15'!U12</f>
        <v>0</v>
      </c>
      <c r="E514" s="2">
        <f>'Client 15'!V12</f>
        <v>0</v>
      </c>
      <c r="F514" s="350">
        <f>'Client 15'!W12</f>
        <v>0</v>
      </c>
      <c r="G514" s="2">
        <f>'Client 15'!X12</f>
        <v>0</v>
      </c>
      <c r="H514" s="2">
        <f>'Client 15'!Y12</f>
        <v>0</v>
      </c>
      <c r="I514" s="2">
        <f>'Client 15'!Z12</f>
        <v>0</v>
      </c>
      <c r="J514" s="2">
        <f>'Client 15'!AA12</f>
        <v>0</v>
      </c>
      <c r="K514" s="2">
        <f>'Client 15'!AB12</f>
        <v>0</v>
      </c>
      <c r="L514" s="2" cm="1">
        <f t="array" aca="1" ref="L514" ca="1">IF(B514=0,0,INDIRECT("MRN_"&amp;A514))</f>
        <v>0</v>
      </c>
      <c r="M514" s="2">
        <f t="shared" si="93"/>
        <v>0</v>
      </c>
      <c r="N514" s="2" t="str">
        <f t="shared" si="94"/>
        <v>No</v>
      </c>
      <c r="O514" s="2" t="str">
        <f t="shared" si="95"/>
        <v>No</v>
      </c>
      <c r="P514" s="2" t="str" cm="1">
        <f t="array" aca="1" ref="P514" ca="1">IF(OR(INDIRECT("MRN_"&amp;A514)="N/A",B514=0),"No","Yes")</f>
        <v>No</v>
      </c>
    </row>
    <row r="515" spans="1:16" x14ac:dyDescent="0.2">
      <c r="A515" s="68">
        <v>15</v>
      </c>
      <c r="B515" s="349">
        <f>'Client 15'!S13</f>
        <v>0</v>
      </c>
      <c r="C515" s="2">
        <f>'Client 15'!T13</f>
        <v>0</v>
      </c>
      <c r="D515" s="2">
        <f>'Client 15'!U13</f>
        <v>0</v>
      </c>
      <c r="E515" s="2">
        <f>'Client 15'!V13</f>
        <v>0</v>
      </c>
      <c r="F515" s="350">
        <f>'Client 15'!W13</f>
        <v>0</v>
      </c>
      <c r="G515" s="2">
        <f>'Client 15'!X13</f>
        <v>0</v>
      </c>
      <c r="H515" s="2">
        <f>'Client 15'!Y13</f>
        <v>0</v>
      </c>
      <c r="I515" s="2">
        <f>'Client 15'!Z13</f>
        <v>0</v>
      </c>
      <c r="J515" s="2">
        <f>'Client 15'!AA13</f>
        <v>0</v>
      </c>
      <c r="K515" s="2">
        <f>'Client 15'!AB13</f>
        <v>0</v>
      </c>
      <c r="L515" s="2" cm="1">
        <f t="array" aca="1" ref="L515" ca="1">IF(B515=0,0,INDIRECT("MRN_"&amp;A515))</f>
        <v>0</v>
      </c>
      <c r="M515" s="2">
        <f t="shared" si="93"/>
        <v>0</v>
      </c>
      <c r="N515" s="2" t="str">
        <f t="shared" si="94"/>
        <v>No</v>
      </c>
      <c r="O515" s="2" t="str">
        <f t="shared" si="95"/>
        <v>No</v>
      </c>
      <c r="P515" s="2" t="str" cm="1">
        <f t="array" aca="1" ref="P515" ca="1">IF(OR(INDIRECT("MRN_"&amp;A515)="N/A",B515=0),"No","Yes")</f>
        <v>No</v>
      </c>
    </row>
    <row r="516" spans="1:16" x14ac:dyDescent="0.2">
      <c r="A516" s="68">
        <v>15</v>
      </c>
      <c r="B516" s="349">
        <f>'Client 15'!S14</f>
        <v>0</v>
      </c>
      <c r="C516" s="2">
        <f>'Client 15'!T14</f>
        <v>0</v>
      </c>
      <c r="D516" s="2">
        <f>'Client 15'!U14</f>
        <v>0</v>
      </c>
      <c r="E516" s="2">
        <f>'Client 15'!V14</f>
        <v>0</v>
      </c>
      <c r="F516" s="350">
        <f>'Client 15'!W14</f>
        <v>0</v>
      </c>
      <c r="G516" s="2">
        <f>'Client 15'!X14</f>
        <v>0</v>
      </c>
      <c r="H516" s="2">
        <f>'Client 15'!Y14</f>
        <v>0</v>
      </c>
      <c r="I516" s="2">
        <f>'Client 15'!Z14</f>
        <v>0</v>
      </c>
      <c r="J516" s="2">
        <f>'Client 15'!AA14</f>
        <v>0</v>
      </c>
      <c r="K516" s="2">
        <f>'Client 15'!AB14</f>
        <v>0</v>
      </c>
      <c r="L516" s="2" cm="1">
        <f t="array" aca="1" ref="L516" ca="1">IF(B516=0,0,INDIRECT("MRN_"&amp;A516))</f>
        <v>0</v>
      </c>
      <c r="M516" s="2">
        <f t="shared" si="93"/>
        <v>0</v>
      </c>
      <c r="N516" s="2" t="str">
        <f t="shared" si="94"/>
        <v>No</v>
      </c>
      <c r="O516" s="2" t="str">
        <f t="shared" si="95"/>
        <v>No</v>
      </c>
      <c r="P516" s="2" t="str" cm="1">
        <f t="array" aca="1" ref="P516" ca="1">IF(OR(INDIRECT("MRN_"&amp;A516)="N/A",B516=0),"No","Yes")</f>
        <v>No</v>
      </c>
    </row>
    <row r="517" spans="1:16" x14ac:dyDescent="0.2">
      <c r="A517" s="68">
        <v>15</v>
      </c>
      <c r="B517" s="349">
        <f>'Client 15'!S15</f>
        <v>0</v>
      </c>
      <c r="C517" s="2">
        <f>'Client 15'!T15</f>
        <v>0</v>
      </c>
      <c r="D517" s="2">
        <f>'Client 15'!U15</f>
        <v>0</v>
      </c>
      <c r="E517" s="2">
        <f>'Client 15'!V15</f>
        <v>0</v>
      </c>
      <c r="F517" s="350">
        <f>'Client 15'!W15</f>
        <v>0</v>
      </c>
      <c r="G517" s="2">
        <f>'Client 15'!X15</f>
        <v>0</v>
      </c>
      <c r="H517" s="2">
        <f>'Client 15'!Y15</f>
        <v>0</v>
      </c>
      <c r="I517" s="2">
        <f>'Client 15'!Z15</f>
        <v>0</v>
      </c>
      <c r="J517" s="2">
        <f>'Client 15'!AA15</f>
        <v>0</v>
      </c>
      <c r="K517" s="2">
        <f>'Client 15'!AB15</f>
        <v>0</v>
      </c>
      <c r="L517" s="2" cm="1">
        <f t="array" aca="1" ref="L517" ca="1">IF(B517=0,0,INDIRECT("MRN_"&amp;A517))</f>
        <v>0</v>
      </c>
      <c r="M517" s="2">
        <f t="shared" si="93"/>
        <v>0</v>
      </c>
      <c r="N517" s="2" t="str">
        <f t="shared" si="94"/>
        <v>No</v>
      </c>
      <c r="O517" s="2" t="str">
        <f t="shared" si="95"/>
        <v>No</v>
      </c>
      <c r="P517" s="2" t="str" cm="1">
        <f t="array" aca="1" ref="P517" ca="1">IF(OR(INDIRECT("MRN_"&amp;A517)="N/A",B517=0),"No","Yes")</f>
        <v>No</v>
      </c>
    </row>
    <row r="518" spans="1:16" x14ac:dyDescent="0.2">
      <c r="A518" s="68">
        <v>15</v>
      </c>
      <c r="B518" s="349">
        <f>'Client 15'!S16</f>
        <v>0</v>
      </c>
      <c r="C518" s="2">
        <f>'Client 15'!T16</f>
        <v>0</v>
      </c>
      <c r="D518" s="2">
        <f>'Client 15'!U16</f>
        <v>0</v>
      </c>
      <c r="E518" s="2">
        <f>'Client 15'!V16</f>
        <v>0</v>
      </c>
      <c r="F518" s="350">
        <f>'Client 15'!W16</f>
        <v>0</v>
      </c>
      <c r="G518" s="2">
        <f>'Client 15'!X16</f>
        <v>0</v>
      </c>
      <c r="H518" s="2">
        <f>'Client 15'!Y16</f>
        <v>0</v>
      </c>
      <c r="I518" s="2">
        <f>'Client 15'!Z16</f>
        <v>0</v>
      </c>
      <c r="J518" s="2">
        <f>'Client 15'!AA16</f>
        <v>0</v>
      </c>
      <c r="K518" s="2">
        <f>'Client 15'!AB16</f>
        <v>0</v>
      </c>
      <c r="L518" s="2" cm="1">
        <f t="array" aca="1" ref="L518" ca="1">IF(B518=0,0,INDIRECT("MRN_"&amp;A518))</f>
        <v>0</v>
      </c>
      <c r="M518" s="2">
        <f t="shared" si="93"/>
        <v>0</v>
      </c>
      <c r="N518" s="2" t="str">
        <f t="shared" si="94"/>
        <v>No</v>
      </c>
      <c r="O518" s="2" t="str">
        <f t="shared" si="95"/>
        <v>No</v>
      </c>
      <c r="P518" s="2" t="str" cm="1">
        <f t="array" aca="1" ref="P518" ca="1">IF(OR(INDIRECT("MRN_"&amp;A518)="N/A",B518=0),"No","Yes")</f>
        <v>No</v>
      </c>
    </row>
    <row r="519" spans="1:16" x14ac:dyDescent="0.2">
      <c r="A519" s="68">
        <v>15</v>
      </c>
      <c r="B519" s="349">
        <f>'Client 15'!S17</f>
        <v>0</v>
      </c>
      <c r="C519" s="2">
        <f>'Client 15'!T17</f>
        <v>0</v>
      </c>
      <c r="D519" s="2">
        <f>'Client 15'!U17</f>
        <v>0</v>
      </c>
      <c r="E519" s="2">
        <f>'Client 15'!V17</f>
        <v>0</v>
      </c>
      <c r="F519" s="350">
        <f>'Client 15'!W17</f>
        <v>0</v>
      </c>
      <c r="G519" s="2">
        <f>'Client 15'!X17</f>
        <v>0</v>
      </c>
      <c r="H519" s="2">
        <f>'Client 15'!Y17</f>
        <v>0</v>
      </c>
      <c r="I519" s="2">
        <f>'Client 15'!Z17</f>
        <v>0</v>
      </c>
      <c r="J519" s="2">
        <f>'Client 15'!AA17</f>
        <v>0</v>
      </c>
      <c r="K519" s="2">
        <f>'Client 15'!AB17</f>
        <v>0</v>
      </c>
      <c r="L519" s="2" cm="1">
        <f t="array" aca="1" ref="L519" ca="1">IF(B519=0,0,INDIRECT("MRN_"&amp;A519))</f>
        <v>0</v>
      </c>
      <c r="M519" s="2">
        <f t="shared" si="93"/>
        <v>0</v>
      </c>
      <c r="N519" s="2" t="str">
        <f t="shared" si="94"/>
        <v>No</v>
      </c>
      <c r="O519" s="2" t="str">
        <f t="shared" si="95"/>
        <v>No</v>
      </c>
      <c r="P519" s="2" t="str" cm="1">
        <f t="array" aca="1" ref="P519" ca="1">IF(OR(INDIRECT("MRN_"&amp;A519)="N/A",B519=0),"No","Yes")</f>
        <v>No</v>
      </c>
    </row>
    <row r="520" spans="1:16" x14ac:dyDescent="0.2">
      <c r="A520" s="68">
        <v>15</v>
      </c>
      <c r="B520" s="349">
        <f>'Client 15'!S18</f>
        <v>0</v>
      </c>
      <c r="C520" s="2">
        <f>'Client 15'!T18</f>
        <v>0</v>
      </c>
      <c r="D520" s="2">
        <f>'Client 15'!U18</f>
        <v>0</v>
      </c>
      <c r="E520" s="2">
        <f>'Client 15'!V18</f>
        <v>0</v>
      </c>
      <c r="F520" s="350">
        <f>'Client 15'!W18</f>
        <v>0</v>
      </c>
      <c r="G520" s="2">
        <f>'Client 15'!X18</f>
        <v>0</v>
      </c>
      <c r="H520" s="2">
        <f>'Client 15'!Y18</f>
        <v>0</v>
      </c>
      <c r="I520" s="2">
        <f>'Client 15'!Z18</f>
        <v>0</v>
      </c>
      <c r="J520" s="2">
        <f>'Client 15'!AA18</f>
        <v>0</v>
      </c>
      <c r="K520" s="2">
        <f>'Client 15'!AB18</f>
        <v>0</v>
      </c>
      <c r="L520" s="2" cm="1">
        <f t="array" aca="1" ref="L520" ca="1">IF(B520=0,0,INDIRECT("MRN_"&amp;A520))</f>
        <v>0</v>
      </c>
      <c r="M520" s="2">
        <f t="shared" si="93"/>
        <v>0</v>
      </c>
      <c r="N520" s="2" t="str">
        <f t="shared" si="94"/>
        <v>No</v>
      </c>
      <c r="O520" s="2" t="str">
        <f t="shared" si="95"/>
        <v>No</v>
      </c>
      <c r="P520" s="2" t="str" cm="1">
        <f t="array" aca="1" ref="P520" ca="1">IF(OR(INDIRECT("MRN_"&amp;A520)="N/A",B520=0),"No","Yes")</f>
        <v>No</v>
      </c>
    </row>
    <row r="521" spans="1:16" x14ac:dyDescent="0.2">
      <c r="A521" s="68">
        <v>15</v>
      </c>
      <c r="B521" s="349">
        <f>'Client 15'!S19</f>
        <v>0</v>
      </c>
      <c r="C521" s="2">
        <f>'Client 15'!T19</f>
        <v>0</v>
      </c>
      <c r="D521" s="2">
        <f>'Client 15'!U19</f>
        <v>0</v>
      </c>
      <c r="E521" s="2">
        <f>'Client 15'!V19</f>
        <v>0</v>
      </c>
      <c r="F521" s="350">
        <f>'Client 15'!W19</f>
        <v>0</v>
      </c>
      <c r="G521" s="2">
        <f>'Client 15'!X19</f>
        <v>0</v>
      </c>
      <c r="H521" s="2">
        <f>'Client 15'!Y19</f>
        <v>0</v>
      </c>
      <c r="I521" s="2">
        <f>'Client 15'!Z19</f>
        <v>0</v>
      </c>
      <c r="J521" s="2">
        <f>'Client 15'!AA19</f>
        <v>0</v>
      </c>
      <c r="K521" s="2">
        <f>'Client 15'!AB19</f>
        <v>0</v>
      </c>
      <c r="L521" s="2" cm="1">
        <f t="array" aca="1" ref="L521" ca="1">IF(B521=0,0,INDIRECT("MRN_"&amp;A521))</f>
        <v>0</v>
      </c>
      <c r="M521" s="2">
        <f t="shared" si="93"/>
        <v>0</v>
      </c>
      <c r="N521" s="2" t="str">
        <f t="shared" si="94"/>
        <v>No</v>
      </c>
      <c r="O521" s="2" t="str">
        <f t="shared" si="95"/>
        <v>No</v>
      </c>
      <c r="P521" s="2" t="str" cm="1">
        <f t="array" aca="1" ref="P521" ca="1">IF(OR(INDIRECT("MRN_"&amp;A521)="N/A",B521=0),"No","Yes")</f>
        <v>No</v>
      </c>
    </row>
    <row r="522" spans="1:16" x14ac:dyDescent="0.2">
      <c r="A522" s="68">
        <v>15</v>
      </c>
      <c r="B522" s="349">
        <f>'Client 15'!S20</f>
        <v>0</v>
      </c>
      <c r="C522" s="2">
        <f>'Client 15'!T20</f>
        <v>0</v>
      </c>
      <c r="D522" s="2">
        <f>'Client 15'!U20</f>
        <v>0</v>
      </c>
      <c r="E522" s="2">
        <f>'Client 15'!V20</f>
        <v>0</v>
      </c>
      <c r="F522" s="350">
        <f>'Client 15'!W20</f>
        <v>0</v>
      </c>
      <c r="G522" s="2">
        <f>'Client 15'!X20</f>
        <v>0</v>
      </c>
      <c r="H522" s="2">
        <f>'Client 15'!Y20</f>
        <v>0</v>
      </c>
      <c r="I522" s="2">
        <f>'Client 15'!Z20</f>
        <v>0</v>
      </c>
      <c r="J522" s="2">
        <f>'Client 15'!AA20</f>
        <v>0</v>
      </c>
      <c r="K522" s="2">
        <f>'Client 15'!AB20</f>
        <v>0</v>
      </c>
      <c r="L522" s="2" cm="1">
        <f t="array" aca="1" ref="L522" ca="1">IF(B522=0,0,INDIRECT("MRN_"&amp;A522))</f>
        <v>0</v>
      </c>
      <c r="M522" s="2">
        <f t="shared" si="93"/>
        <v>0</v>
      </c>
      <c r="N522" s="2" t="str">
        <f t="shared" si="94"/>
        <v>No</v>
      </c>
      <c r="O522" s="2" t="str">
        <f t="shared" si="95"/>
        <v>No</v>
      </c>
      <c r="P522" s="2" t="str" cm="1">
        <f t="array" aca="1" ref="P522" ca="1">IF(OR(INDIRECT("MRN_"&amp;A522)="N/A",B522=0),"No","Yes")</f>
        <v>No</v>
      </c>
    </row>
    <row r="523" spans="1:16" x14ac:dyDescent="0.2">
      <c r="A523" s="68">
        <v>15</v>
      </c>
      <c r="B523" s="349">
        <f>'Client 15'!S21</f>
        <v>0</v>
      </c>
      <c r="C523" s="2">
        <f>'Client 15'!T21</f>
        <v>0</v>
      </c>
      <c r="D523" s="2">
        <f>'Client 15'!U21</f>
        <v>0</v>
      </c>
      <c r="E523" s="2">
        <f>'Client 15'!V21</f>
        <v>0</v>
      </c>
      <c r="F523" s="350">
        <f>'Client 15'!W21</f>
        <v>0</v>
      </c>
      <c r="G523" s="2">
        <f>'Client 15'!X21</f>
        <v>0</v>
      </c>
      <c r="H523" s="2">
        <f>'Client 15'!Y21</f>
        <v>0</v>
      </c>
      <c r="I523" s="2">
        <f>'Client 15'!Z21</f>
        <v>0</v>
      </c>
      <c r="J523" s="2">
        <f>'Client 15'!AA21</f>
        <v>0</v>
      </c>
      <c r="K523" s="2">
        <f>'Client 15'!AB21</f>
        <v>0</v>
      </c>
      <c r="L523" s="2" cm="1">
        <f t="array" aca="1" ref="L523" ca="1">IF(B523=0,0,INDIRECT("MRN_"&amp;A523))</f>
        <v>0</v>
      </c>
      <c r="M523" s="2">
        <f t="shared" si="93"/>
        <v>0</v>
      </c>
      <c r="N523" s="2" t="str">
        <f t="shared" si="94"/>
        <v>No</v>
      </c>
      <c r="O523" s="2" t="str">
        <f t="shared" si="95"/>
        <v>No</v>
      </c>
      <c r="P523" s="2" t="str" cm="1">
        <f t="array" aca="1" ref="P523" ca="1">IF(OR(INDIRECT("MRN_"&amp;A523)="N/A",B523=0),"No","Yes")</f>
        <v>No</v>
      </c>
    </row>
    <row r="524" spans="1:16" x14ac:dyDescent="0.2">
      <c r="A524" s="68">
        <v>15</v>
      </c>
      <c r="B524" s="349">
        <f>'Client 15'!S22</f>
        <v>0</v>
      </c>
      <c r="C524" s="2">
        <f>'Client 15'!T22</f>
        <v>0</v>
      </c>
      <c r="D524" s="2">
        <f>'Client 15'!U22</f>
        <v>0</v>
      </c>
      <c r="E524" s="2">
        <f>'Client 15'!V22</f>
        <v>0</v>
      </c>
      <c r="F524" s="350">
        <f>'Client 15'!W22</f>
        <v>0</v>
      </c>
      <c r="G524" s="2">
        <f>'Client 15'!X22</f>
        <v>0</v>
      </c>
      <c r="H524" s="2">
        <f>'Client 15'!Y22</f>
        <v>0</v>
      </c>
      <c r="I524" s="2">
        <f>'Client 15'!Z22</f>
        <v>0</v>
      </c>
      <c r="J524" s="2">
        <f>'Client 15'!AA22</f>
        <v>0</v>
      </c>
      <c r="K524" s="2">
        <f>'Client 15'!AB22</f>
        <v>0</v>
      </c>
      <c r="L524" s="2" cm="1">
        <f t="array" aca="1" ref="L524" ca="1">IF(B524=0,0,INDIRECT("MRN_"&amp;A524))</f>
        <v>0</v>
      </c>
      <c r="M524" s="2">
        <f t="shared" si="93"/>
        <v>0</v>
      </c>
      <c r="N524" s="2" t="str">
        <f t="shared" si="94"/>
        <v>No</v>
      </c>
      <c r="O524" s="2" t="str">
        <f t="shared" si="95"/>
        <v>No</v>
      </c>
      <c r="P524" s="2" t="str" cm="1">
        <f t="array" aca="1" ref="P524" ca="1">IF(OR(INDIRECT("MRN_"&amp;A524)="N/A",B524=0),"No","Yes")</f>
        <v>No</v>
      </c>
    </row>
    <row r="525" spans="1:16" x14ac:dyDescent="0.2">
      <c r="A525" s="68">
        <v>15</v>
      </c>
      <c r="B525" s="349">
        <f>'Client 15'!S23</f>
        <v>0</v>
      </c>
      <c r="C525" s="2">
        <f>'Client 15'!T23</f>
        <v>0</v>
      </c>
      <c r="D525" s="2">
        <f>'Client 15'!U23</f>
        <v>0</v>
      </c>
      <c r="E525" s="2">
        <f>'Client 15'!V23</f>
        <v>0</v>
      </c>
      <c r="F525" s="350">
        <f>'Client 15'!W23</f>
        <v>0</v>
      </c>
      <c r="G525" s="2">
        <f>'Client 15'!X23</f>
        <v>0</v>
      </c>
      <c r="H525" s="2">
        <f>'Client 15'!Y23</f>
        <v>0</v>
      </c>
      <c r="I525" s="2">
        <f>'Client 15'!Z23</f>
        <v>0</v>
      </c>
      <c r="J525" s="2">
        <f>'Client 15'!AA23</f>
        <v>0</v>
      </c>
      <c r="K525" s="2">
        <f>'Client 15'!AB23</f>
        <v>0</v>
      </c>
      <c r="L525" s="2" cm="1">
        <f t="array" aca="1" ref="L525" ca="1">IF(B525=0,0,INDIRECT("MRN_"&amp;A525))</f>
        <v>0</v>
      </c>
      <c r="M525" s="2">
        <f t="shared" si="93"/>
        <v>0</v>
      </c>
      <c r="N525" s="2" t="str">
        <f t="shared" si="94"/>
        <v>No</v>
      </c>
      <c r="O525" s="2" t="str">
        <f t="shared" si="95"/>
        <v>No</v>
      </c>
      <c r="P525" s="2" t="str" cm="1">
        <f t="array" aca="1" ref="P525" ca="1">IF(OR(INDIRECT("MRN_"&amp;A525)="N/A",B525=0),"No","Yes")</f>
        <v>No</v>
      </c>
    </row>
    <row r="526" spans="1:16" x14ac:dyDescent="0.2">
      <c r="A526" s="68">
        <v>15</v>
      </c>
      <c r="B526" s="349">
        <f>'Client 15'!S24</f>
        <v>0</v>
      </c>
      <c r="C526" s="2">
        <f>'Client 15'!T24</f>
        <v>0</v>
      </c>
      <c r="D526" s="2">
        <f>'Client 15'!U24</f>
        <v>0</v>
      </c>
      <c r="E526" s="2">
        <f>'Client 15'!V24</f>
        <v>0</v>
      </c>
      <c r="F526" s="350">
        <f>'Client 15'!W24</f>
        <v>0</v>
      </c>
      <c r="G526" s="2">
        <f>'Client 15'!X24</f>
        <v>0</v>
      </c>
      <c r="H526" s="2">
        <f>'Client 15'!Y24</f>
        <v>0</v>
      </c>
      <c r="I526" s="2">
        <f>'Client 15'!Z24</f>
        <v>0</v>
      </c>
      <c r="J526" s="2">
        <f>'Client 15'!AA24</f>
        <v>0</v>
      </c>
      <c r="K526" s="2">
        <f>'Client 15'!AB24</f>
        <v>0</v>
      </c>
      <c r="L526" s="2" cm="1">
        <f t="array" aca="1" ref="L526" ca="1">IF(B526=0,0,INDIRECT("MRN_"&amp;A526))</f>
        <v>0</v>
      </c>
      <c r="M526" s="2">
        <f t="shared" si="93"/>
        <v>0</v>
      </c>
      <c r="N526" s="2" t="str">
        <f t="shared" si="94"/>
        <v>No</v>
      </c>
      <c r="O526" s="2" t="str">
        <f t="shared" si="95"/>
        <v>No</v>
      </c>
      <c r="P526" s="2" t="str" cm="1">
        <f t="array" aca="1" ref="P526" ca="1">IF(OR(INDIRECT("MRN_"&amp;A526)="N/A",B526=0),"No","Yes")</f>
        <v>No</v>
      </c>
    </row>
    <row r="527" spans="1:16" x14ac:dyDescent="0.2">
      <c r="A527" s="68">
        <v>15</v>
      </c>
      <c r="B527" s="349">
        <f>'Client 15'!S25</f>
        <v>0</v>
      </c>
      <c r="C527" s="2">
        <f>'Client 15'!T25</f>
        <v>0</v>
      </c>
      <c r="D527" s="2">
        <f>'Client 15'!U25</f>
        <v>0</v>
      </c>
      <c r="E527" s="2">
        <f>'Client 15'!V25</f>
        <v>0</v>
      </c>
      <c r="F527" s="350">
        <f>'Client 15'!W25</f>
        <v>0</v>
      </c>
      <c r="G527" s="2">
        <f>'Client 15'!X25</f>
        <v>0</v>
      </c>
      <c r="H527" s="2">
        <f>'Client 15'!Y25</f>
        <v>0</v>
      </c>
      <c r="I527" s="2">
        <f>'Client 15'!Z25</f>
        <v>0</v>
      </c>
      <c r="J527" s="2">
        <f>'Client 15'!AA25</f>
        <v>0</v>
      </c>
      <c r="K527" s="2">
        <f>'Client 15'!AB25</f>
        <v>0</v>
      </c>
      <c r="L527" s="2" cm="1">
        <f t="array" aca="1" ref="L527" ca="1">IF(B527=0,0,INDIRECT("MRN_"&amp;A527))</f>
        <v>0</v>
      </c>
      <c r="M527" s="2">
        <f t="shared" si="93"/>
        <v>0</v>
      </c>
      <c r="N527" s="2" t="str">
        <f t="shared" si="94"/>
        <v>No</v>
      </c>
      <c r="O527" s="2" t="str">
        <f t="shared" si="95"/>
        <v>No</v>
      </c>
      <c r="P527" s="2" t="str" cm="1">
        <f t="array" aca="1" ref="P527" ca="1">IF(OR(INDIRECT("MRN_"&amp;A527)="N/A",B527=0),"No","Yes")</f>
        <v>No</v>
      </c>
    </row>
    <row r="528" spans="1:16" x14ac:dyDescent="0.2">
      <c r="A528" s="68">
        <v>15</v>
      </c>
      <c r="B528" s="349">
        <f>'Client 15'!S26</f>
        <v>0</v>
      </c>
      <c r="C528" s="2">
        <f>'Client 15'!T26</f>
        <v>0</v>
      </c>
      <c r="D528" s="2">
        <f>'Client 15'!U26</f>
        <v>0</v>
      </c>
      <c r="E528" s="2">
        <f>'Client 15'!V26</f>
        <v>0</v>
      </c>
      <c r="F528" s="350">
        <f>'Client 15'!W26</f>
        <v>0</v>
      </c>
      <c r="G528" s="2">
        <f>'Client 15'!X26</f>
        <v>0</v>
      </c>
      <c r="H528" s="2">
        <f>'Client 15'!Y26</f>
        <v>0</v>
      </c>
      <c r="I528" s="2">
        <f>'Client 15'!Z26</f>
        <v>0</v>
      </c>
      <c r="J528" s="2">
        <f>'Client 15'!AA26</f>
        <v>0</v>
      </c>
      <c r="K528" s="2">
        <f>'Client 15'!AB26</f>
        <v>0</v>
      </c>
      <c r="L528" s="2" cm="1">
        <f t="array" aca="1" ref="L528" ca="1">IF(B528=0,0,INDIRECT("MRN_"&amp;A528))</f>
        <v>0</v>
      </c>
      <c r="M528" s="2">
        <f t="shared" si="93"/>
        <v>0</v>
      </c>
      <c r="N528" s="2" t="str">
        <f t="shared" si="94"/>
        <v>No</v>
      </c>
      <c r="O528" s="2" t="str">
        <f t="shared" si="95"/>
        <v>No</v>
      </c>
      <c r="P528" s="2" t="str" cm="1">
        <f t="array" aca="1" ref="P528" ca="1">IF(OR(INDIRECT("MRN_"&amp;A528)="N/A",B528=0),"No","Yes")</f>
        <v>No</v>
      </c>
    </row>
    <row r="529" spans="1:16" x14ac:dyDescent="0.2">
      <c r="A529" s="68">
        <v>15</v>
      </c>
      <c r="B529" s="349">
        <f>'Client 15'!S27</f>
        <v>0</v>
      </c>
      <c r="C529" s="2">
        <f>'Client 15'!T27</f>
        <v>0</v>
      </c>
      <c r="D529" s="2">
        <f>'Client 15'!U27</f>
        <v>0</v>
      </c>
      <c r="E529" s="2">
        <f>'Client 15'!V27</f>
        <v>0</v>
      </c>
      <c r="F529" s="350">
        <f>'Client 15'!W27</f>
        <v>0</v>
      </c>
      <c r="G529" s="2">
        <f>'Client 15'!X27</f>
        <v>0</v>
      </c>
      <c r="H529" s="2">
        <f>'Client 15'!Y27</f>
        <v>0</v>
      </c>
      <c r="I529" s="2">
        <f>'Client 15'!Z27</f>
        <v>0</v>
      </c>
      <c r="J529" s="2">
        <f>'Client 15'!AA27</f>
        <v>0</v>
      </c>
      <c r="K529" s="2">
        <f>'Client 15'!AB27</f>
        <v>0</v>
      </c>
      <c r="L529" s="2" cm="1">
        <f t="array" aca="1" ref="L529" ca="1">IF(B529=0,0,INDIRECT("MRN_"&amp;A529))</f>
        <v>0</v>
      </c>
      <c r="M529" s="2">
        <f t="shared" si="93"/>
        <v>0</v>
      </c>
      <c r="N529" s="2" t="str">
        <f t="shared" si="94"/>
        <v>No</v>
      </c>
      <c r="O529" s="2" t="str">
        <f t="shared" si="95"/>
        <v>No</v>
      </c>
      <c r="P529" s="2" t="str" cm="1">
        <f t="array" aca="1" ref="P529" ca="1">IF(OR(INDIRECT("MRN_"&amp;A529)="N/A",B529=0),"No","Yes")</f>
        <v>No</v>
      </c>
    </row>
    <row r="530" spans="1:16" x14ac:dyDescent="0.2">
      <c r="A530" s="68">
        <v>15</v>
      </c>
      <c r="B530" s="349">
        <f>'Client 15'!S28</f>
        <v>0</v>
      </c>
      <c r="C530" s="2">
        <f>'Client 15'!T28</f>
        <v>0</v>
      </c>
      <c r="D530" s="2">
        <f>'Client 15'!U28</f>
        <v>0</v>
      </c>
      <c r="E530" s="2">
        <f>'Client 15'!V28</f>
        <v>0</v>
      </c>
      <c r="F530" s="350">
        <f>'Client 15'!W28</f>
        <v>0</v>
      </c>
      <c r="G530" s="2">
        <f>'Client 15'!X28</f>
        <v>0</v>
      </c>
      <c r="H530" s="2">
        <f>'Client 15'!Y28</f>
        <v>0</v>
      </c>
      <c r="I530" s="2">
        <f>'Client 15'!Z28</f>
        <v>0</v>
      </c>
      <c r="J530" s="2">
        <f>'Client 15'!AA28</f>
        <v>0</v>
      </c>
      <c r="K530" s="2">
        <f>'Client 15'!AB28</f>
        <v>0</v>
      </c>
      <c r="L530" s="2" cm="1">
        <f t="array" aca="1" ref="L530" ca="1">IF(B530=0,0,INDIRECT("MRN_"&amp;A530))</f>
        <v>0</v>
      </c>
      <c r="M530" s="2">
        <f t="shared" si="93"/>
        <v>0</v>
      </c>
      <c r="N530" s="2" t="str">
        <f t="shared" si="94"/>
        <v>No</v>
      </c>
      <c r="O530" s="2" t="str">
        <f t="shared" si="95"/>
        <v>No</v>
      </c>
      <c r="P530" s="2" t="str" cm="1">
        <f t="array" aca="1" ref="P530" ca="1">IF(OR(INDIRECT("MRN_"&amp;A530)="N/A",B530=0),"No","Yes")</f>
        <v>No</v>
      </c>
    </row>
    <row r="531" spans="1:16" x14ac:dyDescent="0.2">
      <c r="A531" s="68">
        <v>15</v>
      </c>
      <c r="B531" s="349">
        <f>'Client 15'!S29</f>
        <v>0</v>
      </c>
      <c r="C531" s="2">
        <f>'Client 15'!T29</f>
        <v>0</v>
      </c>
      <c r="D531" s="2">
        <f>'Client 15'!U29</f>
        <v>0</v>
      </c>
      <c r="E531" s="2">
        <f>'Client 15'!V29</f>
        <v>0</v>
      </c>
      <c r="F531" s="350">
        <f>'Client 15'!W29</f>
        <v>0</v>
      </c>
      <c r="G531" s="2">
        <f>'Client 15'!X29</f>
        <v>0</v>
      </c>
      <c r="H531" s="2">
        <f>'Client 15'!Y29</f>
        <v>0</v>
      </c>
      <c r="I531" s="2">
        <f>'Client 15'!Z29</f>
        <v>0</v>
      </c>
      <c r="J531" s="2">
        <f>'Client 15'!AA29</f>
        <v>0</v>
      </c>
      <c r="K531" s="2">
        <f>'Client 15'!AB29</f>
        <v>0</v>
      </c>
      <c r="L531" s="2" cm="1">
        <f t="array" aca="1" ref="L531" ca="1">IF(B531=0,0,INDIRECT("MRN_"&amp;A531))</f>
        <v>0</v>
      </c>
      <c r="M531" s="2">
        <f t="shared" si="93"/>
        <v>0</v>
      </c>
      <c r="N531" s="2" t="str">
        <f t="shared" si="94"/>
        <v>No</v>
      </c>
      <c r="O531" s="2" t="str">
        <f t="shared" si="95"/>
        <v>No</v>
      </c>
      <c r="P531" s="2" t="str" cm="1">
        <f t="array" aca="1" ref="P531" ca="1">IF(OR(INDIRECT("MRN_"&amp;A531)="N/A",B531=0),"No","Yes")</f>
        <v>No</v>
      </c>
    </row>
    <row r="532" spans="1:16" x14ac:dyDescent="0.2">
      <c r="A532" s="68">
        <v>15</v>
      </c>
      <c r="B532" s="349">
        <f>'Client 15'!S30</f>
        <v>0</v>
      </c>
      <c r="C532" s="2">
        <f>'Client 15'!T30</f>
        <v>0</v>
      </c>
      <c r="D532" s="2">
        <f>'Client 15'!U30</f>
        <v>0</v>
      </c>
      <c r="E532" s="2">
        <f>'Client 15'!V30</f>
        <v>0</v>
      </c>
      <c r="F532" s="350">
        <f>'Client 15'!W30</f>
        <v>0</v>
      </c>
      <c r="G532" s="2">
        <f>'Client 15'!X30</f>
        <v>0</v>
      </c>
      <c r="H532" s="2">
        <f>'Client 15'!Y30</f>
        <v>0</v>
      </c>
      <c r="I532" s="2">
        <f>'Client 15'!Z30</f>
        <v>0</v>
      </c>
      <c r="J532" s="2">
        <f>'Client 15'!AA30</f>
        <v>0</v>
      </c>
      <c r="K532" s="2">
        <f>'Client 15'!AB30</f>
        <v>0</v>
      </c>
      <c r="L532" s="2" cm="1">
        <f t="array" aca="1" ref="L532" ca="1">IF(B532=0,0,INDIRECT("MRN_"&amp;A532))</f>
        <v>0</v>
      </c>
      <c r="M532" s="2">
        <f t="shared" si="93"/>
        <v>0</v>
      </c>
      <c r="N532" s="2" t="str">
        <f t="shared" si="94"/>
        <v>No</v>
      </c>
      <c r="O532" s="2" t="str">
        <f t="shared" si="95"/>
        <v>No</v>
      </c>
      <c r="P532" s="2" t="str" cm="1">
        <f t="array" aca="1" ref="P532" ca="1">IF(OR(INDIRECT("MRN_"&amp;A532)="N/A",B532=0),"No","Yes")</f>
        <v>No</v>
      </c>
    </row>
    <row r="533" spans="1:16" x14ac:dyDescent="0.2">
      <c r="A533" s="68">
        <v>15</v>
      </c>
      <c r="B533" s="349">
        <f>'Client 15'!S31</f>
        <v>0</v>
      </c>
      <c r="C533" s="2">
        <f>'Client 15'!T31</f>
        <v>0</v>
      </c>
      <c r="D533" s="2">
        <f>'Client 15'!U31</f>
        <v>0</v>
      </c>
      <c r="E533" s="2">
        <f>'Client 15'!V31</f>
        <v>0</v>
      </c>
      <c r="F533" s="350">
        <f>'Client 15'!W31</f>
        <v>0</v>
      </c>
      <c r="G533" s="2">
        <f>'Client 15'!X31</f>
        <v>0</v>
      </c>
      <c r="H533" s="2">
        <f>'Client 15'!Y31</f>
        <v>0</v>
      </c>
      <c r="I533" s="2">
        <f>'Client 15'!Z31</f>
        <v>0</v>
      </c>
      <c r="J533" s="2">
        <f>'Client 15'!AA31</f>
        <v>0</v>
      </c>
      <c r="K533" s="2">
        <f>'Client 15'!AB31</f>
        <v>0</v>
      </c>
      <c r="L533" s="2" cm="1">
        <f t="array" aca="1" ref="L533" ca="1">IF(B533=0,0,INDIRECT("MRN_"&amp;A533))</f>
        <v>0</v>
      </c>
      <c r="M533" s="2">
        <f t="shared" si="93"/>
        <v>0</v>
      </c>
      <c r="N533" s="2" t="str">
        <f t="shared" si="94"/>
        <v>No</v>
      </c>
      <c r="O533" s="2" t="str">
        <f t="shared" si="95"/>
        <v>No</v>
      </c>
      <c r="P533" s="2" t="str" cm="1">
        <f t="array" aca="1" ref="P533" ca="1">IF(OR(INDIRECT("MRN_"&amp;A533)="N/A",B533=0),"No","Yes")</f>
        <v>No</v>
      </c>
    </row>
    <row r="534" spans="1:16" x14ac:dyDescent="0.2">
      <c r="A534" s="68">
        <v>15</v>
      </c>
      <c r="B534" s="349">
        <f>'Client 15'!S32</f>
        <v>0</v>
      </c>
      <c r="C534" s="2">
        <f>'Client 15'!T32</f>
        <v>0</v>
      </c>
      <c r="D534" s="2">
        <f>'Client 15'!U32</f>
        <v>0</v>
      </c>
      <c r="E534" s="2">
        <f>'Client 15'!V32</f>
        <v>0</v>
      </c>
      <c r="F534" s="350">
        <f>'Client 15'!W32</f>
        <v>0</v>
      </c>
      <c r="G534" s="2">
        <f>'Client 15'!X32</f>
        <v>0</v>
      </c>
      <c r="H534" s="2">
        <f>'Client 15'!Y32</f>
        <v>0</v>
      </c>
      <c r="I534" s="2">
        <f>'Client 15'!Z32</f>
        <v>0</v>
      </c>
      <c r="J534" s="2">
        <f>'Client 15'!AA32</f>
        <v>0</v>
      </c>
      <c r="K534" s="2">
        <f>'Client 15'!AB32</f>
        <v>0</v>
      </c>
      <c r="L534" s="2" cm="1">
        <f t="array" aca="1" ref="L534" ca="1">IF(B534=0,0,INDIRECT("MRN_"&amp;A534))</f>
        <v>0</v>
      </c>
      <c r="M534" s="2">
        <f t="shared" si="93"/>
        <v>0</v>
      </c>
      <c r="N534" s="2" t="str">
        <f t="shared" si="94"/>
        <v>No</v>
      </c>
      <c r="O534" s="2" t="str">
        <f t="shared" si="95"/>
        <v>No</v>
      </c>
      <c r="P534" s="2" t="str" cm="1">
        <f t="array" aca="1" ref="P534" ca="1">IF(OR(INDIRECT("MRN_"&amp;A534)="N/A",B534=0),"No","Yes")</f>
        <v>No</v>
      </c>
    </row>
    <row r="535" spans="1:16" x14ac:dyDescent="0.2">
      <c r="A535" s="68">
        <v>15</v>
      </c>
      <c r="B535" s="349">
        <f>'Client 15'!S33</f>
        <v>0</v>
      </c>
      <c r="C535" s="2">
        <f>'Client 15'!T33</f>
        <v>0</v>
      </c>
      <c r="D535" s="2">
        <f>'Client 15'!U33</f>
        <v>0</v>
      </c>
      <c r="E535" s="2">
        <f>'Client 15'!V33</f>
        <v>0</v>
      </c>
      <c r="F535" s="350">
        <f>'Client 15'!W33</f>
        <v>0</v>
      </c>
      <c r="G535" s="2">
        <f>'Client 15'!X33</f>
        <v>0</v>
      </c>
      <c r="H535" s="2">
        <f>'Client 15'!Y33</f>
        <v>0</v>
      </c>
      <c r="I535" s="2">
        <f>'Client 15'!Z33</f>
        <v>0</v>
      </c>
      <c r="J535" s="2">
        <f>'Client 15'!AA33</f>
        <v>0</v>
      </c>
      <c r="K535" s="2">
        <f>'Client 15'!AB33</f>
        <v>0</v>
      </c>
      <c r="L535" s="2" cm="1">
        <f t="array" aca="1" ref="L535" ca="1">IF(B535=0,0,INDIRECT("MRN_"&amp;A535))</f>
        <v>0</v>
      </c>
      <c r="M535" s="2">
        <f t="shared" si="93"/>
        <v>0</v>
      </c>
      <c r="N535" s="2" t="str">
        <f t="shared" si="94"/>
        <v>No</v>
      </c>
      <c r="O535" s="2" t="str">
        <f t="shared" si="95"/>
        <v>No</v>
      </c>
      <c r="P535" s="2" t="str" cm="1">
        <f t="array" aca="1" ref="P535" ca="1">IF(OR(INDIRECT("MRN_"&amp;A535)="N/A",B535=0),"No","Yes")</f>
        <v>No</v>
      </c>
    </row>
    <row r="536" spans="1:16" x14ac:dyDescent="0.2">
      <c r="A536" s="68">
        <v>15</v>
      </c>
      <c r="B536" s="349">
        <f>'Client 15'!S34</f>
        <v>0</v>
      </c>
      <c r="C536" s="2">
        <f>'Client 15'!T34</f>
        <v>0</v>
      </c>
      <c r="D536" s="2">
        <f>'Client 15'!U34</f>
        <v>0</v>
      </c>
      <c r="E536" s="2">
        <f>'Client 15'!V34</f>
        <v>0</v>
      </c>
      <c r="F536" s="350">
        <f>'Client 15'!W34</f>
        <v>0</v>
      </c>
      <c r="G536" s="2">
        <f>'Client 15'!X34</f>
        <v>0</v>
      </c>
      <c r="H536" s="2">
        <f>'Client 15'!Y34</f>
        <v>0</v>
      </c>
      <c r="I536" s="2">
        <f>'Client 15'!Z34</f>
        <v>0</v>
      </c>
      <c r="J536" s="2">
        <f>'Client 15'!AA34</f>
        <v>0</v>
      </c>
      <c r="K536" s="2">
        <f>'Client 15'!AB34</f>
        <v>0</v>
      </c>
      <c r="L536" s="2" cm="1">
        <f t="array" aca="1" ref="L536" ca="1">IF(B536=0,0,INDIRECT("MRN_"&amp;A536))</f>
        <v>0</v>
      </c>
      <c r="M536" s="2">
        <f t="shared" si="93"/>
        <v>0</v>
      </c>
      <c r="N536" s="2" t="str">
        <f t="shared" si="94"/>
        <v>No</v>
      </c>
      <c r="O536" s="2" t="str">
        <f t="shared" si="95"/>
        <v>No</v>
      </c>
      <c r="P536" s="2" t="str" cm="1">
        <f t="array" aca="1" ref="P536" ca="1">IF(OR(INDIRECT("MRN_"&amp;A536)="N/A",B536=0),"No","Yes")</f>
        <v>No</v>
      </c>
    </row>
    <row r="537" spans="1:16" x14ac:dyDescent="0.2">
      <c r="A537" s="68">
        <v>15</v>
      </c>
      <c r="B537" s="349">
        <f>'Client 15'!S35</f>
        <v>0</v>
      </c>
      <c r="C537" s="2">
        <f>'Client 15'!T35</f>
        <v>0</v>
      </c>
      <c r="D537" s="2">
        <f>'Client 15'!U35</f>
        <v>0</v>
      </c>
      <c r="E537" s="2">
        <f>'Client 15'!V35</f>
        <v>0</v>
      </c>
      <c r="F537" s="350">
        <f>'Client 15'!W35</f>
        <v>0</v>
      </c>
      <c r="G537" s="2">
        <f>'Client 15'!X35</f>
        <v>0</v>
      </c>
      <c r="H537" s="2">
        <f>'Client 15'!Y35</f>
        <v>0</v>
      </c>
      <c r="I537" s="2">
        <f>'Client 15'!Z35</f>
        <v>0</v>
      </c>
      <c r="J537" s="2">
        <f>'Client 15'!AA35</f>
        <v>0</v>
      </c>
      <c r="K537" s="2">
        <f>'Client 15'!AB35</f>
        <v>0</v>
      </c>
      <c r="L537" s="2" cm="1">
        <f t="array" aca="1" ref="L537" ca="1">IF(B537=0,0,INDIRECT("MRN_"&amp;A537))</f>
        <v>0</v>
      </c>
      <c r="M537" s="2">
        <f t="shared" si="93"/>
        <v>0</v>
      </c>
      <c r="N537" s="2" t="str">
        <f t="shared" si="94"/>
        <v>No</v>
      </c>
      <c r="O537" s="2" t="str">
        <f t="shared" si="95"/>
        <v>No</v>
      </c>
      <c r="P537" s="2" t="str" cm="1">
        <f t="array" aca="1" ref="P537" ca="1">IF(OR(INDIRECT("MRN_"&amp;A537)="N/A",B537=0),"No","Yes")</f>
        <v>No</v>
      </c>
    </row>
    <row r="538" spans="1:16" x14ac:dyDescent="0.2">
      <c r="A538" s="68">
        <v>15</v>
      </c>
      <c r="B538" s="349">
        <f>'Client 15'!S36</f>
        <v>0</v>
      </c>
      <c r="C538" s="2">
        <f>'Client 15'!T36</f>
        <v>0</v>
      </c>
      <c r="D538" s="2">
        <f>'Client 15'!U36</f>
        <v>0</v>
      </c>
      <c r="E538" s="2">
        <f>'Client 15'!V36</f>
        <v>0</v>
      </c>
      <c r="F538" s="350">
        <f>'Client 15'!W36</f>
        <v>0</v>
      </c>
      <c r="G538" s="2">
        <f>'Client 15'!X36</f>
        <v>0</v>
      </c>
      <c r="H538" s="2">
        <f>'Client 15'!Y36</f>
        <v>0</v>
      </c>
      <c r="I538" s="2">
        <f>'Client 15'!Z36</f>
        <v>0</v>
      </c>
      <c r="J538" s="2">
        <f>'Client 15'!AA36</f>
        <v>0</v>
      </c>
      <c r="K538" s="2">
        <f>'Client 15'!AB36</f>
        <v>0</v>
      </c>
      <c r="L538" s="2" cm="1">
        <f t="array" aca="1" ref="L538" ca="1">IF(B538=0,0,INDIRECT("MRN_"&amp;A538))</f>
        <v>0</v>
      </c>
      <c r="M538" s="2">
        <f t="shared" si="93"/>
        <v>0</v>
      </c>
      <c r="N538" s="2" t="str">
        <f t="shared" si="94"/>
        <v>No</v>
      </c>
      <c r="O538" s="2" t="str">
        <f t="shared" si="95"/>
        <v>No</v>
      </c>
      <c r="P538" s="2" t="str" cm="1">
        <f t="array" aca="1" ref="P538" ca="1">IF(OR(INDIRECT("MRN_"&amp;A538)="N/A",B538=0),"No","Yes")</f>
        <v>No</v>
      </c>
    </row>
    <row r="539" spans="1:16" x14ac:dyDescent="0.2">
      <c r="A539" s="68">
        <v>15</v>
      </c>
      <c r="B539" s="349">
        <f>'Client 15'!S37</f>
        <v>0</v>
      </c>
      <c r="C539" s="2">
        <f>'Client 15'!T37</f>
        <v>0</v>
      </c>
      <c r="D539" s="2">
        <f>'Client 15'!U37</f>
        <v>0</v>
      </c>
      <c r="E539" s="2">
        <f>'Client 15'!V37</f>
        <v>0</v>
      </c>
      <c r="F539" s="350">
        <f>'Client 15'!W37</f>
        <v>0</v>
      </c>
      <c r="G539" s="2">
        <f>'Client 15'!X37</f>
        <v>0</v>
      </c>
      <c r="H539" s="2">
        <f>'Client 15'!Y37</f>
        <v>0</v>
      </c>
      <c r="I539" s="2">
        <f>'Client 15'!Z37</f>
        <v>0</v>
      </c>
      <c r="J539" s="2">
        <f>'Client 15'!AA37</f>
        <v>0</v>
      </c>
      <c r="K539" s="2">
        <f>'Client 15'!AB37</f>
        <v>0</v>
      </c>
      <c r="L539" s="2" cm="1">
        <f t="array" aca="1" ref="L539" ca="1">IF(B539=0,0,INDIRECT("MRN_"&amp;A539))</f>
        <v>0</v>
      </c>
      <c r="M539" s="2">
        <f t="shared" si="93"/>
        <v>0</v>
      </c>
      <c r="N539" s="2" t="str">
        <f t="shared" si="94"/>
        <v>No</v>
      </c>
      <c r="O539" s="2" t="str">
        <f t="shared" si="95"/>
        <v>No</v>
      </c>
      <c r="P539" s="2" t="str" cm="1">
        <f t="array" aca="1" ref="P539" ca="1">IF(OR(INDIRECT("MRN_"&amp;A539)="N/A",B539=0),"No","Yes")</f>
        <v>No</v>
      </c>
    </row>
    <row r="540" spans="1:16" x14ac:dyDescent="0.2">
      <c r="A540" s="68">
        <v>15</v>
      </c>
      <c r="B540" s="349">
        <f>'Client 15'!S38</f>
        <v>0</v>
      </c>
      <c r="C540" s="2">
        <f>'Client 15'!T38</f>
        <v>0</v>
      </c>
      <c r="D540" s="2">
        <f>'Client 15'!U38</f>
        <v>0</v>
      </c>
      <c r="E540" s="2">
        <f>'Client 15'!V38</f>
        <v>0</v>
      </c>
      <c r="F540" s="350">
        <f>'Client 15'!W38</f>
        <v>0</v>
      </c>
      <c r="G540" s="2">
        <f>'Client 15'!X38</f>
        <v>0</v>
      </c>
      <c r="H540" s="2">
        <f>'Client 15'!Y38</f>
        <v>0</v>
      </c>
      <c r="I540" s="2">
        <f>'Client 15'!Z38</f>
        <v>0</v>
      </c>
      <c r="J540" s="2">
        <f>'Client 15'!AA38</f>
        <v>0</v>
      </c>
      <c r="K540" s="2">
        <f>'Client 15'!AB38</f>
        <v>0</v>
      </c>
      <c r="L540" s="2" cm="1">
        <f t="array" aca="1" ref="L540" ca="1">IF(B540=0,0,INDIRECT("MRN_"&amp;A540))</f>
        <v>0</v>
      </c>
      <c r="M540" s="2">
        <f t="shared" ref="M540:M603" si="96">IF(B540=0,0,"Client_"&amp;A540)</f>
        <v>0</v>
      </c>
      <c r="N540" s="2" t="str">
        <f t="shared" ref="N540:N603" si="97">IF(J540=0,"No","Yes")</f>
        <v>No</v>
      </c>
      <c r="O540" s="2" t="str">
        <f t="shared" ref="O540:O603" si="98">IF(I540=0,"No","Yes")</f>
        <v>No</v>
      </c>
      <c r="P540" s="2" t="str" cm="1">
        <f t="array" aca="1" ref="P540" ca="1">IF(OR(INDIRECT("MRN_"&amp;A540)="N/A",B540=0),"No","Yes")</f>
        <v>No</v>
      </c>
    </row>
    <row r="541" spans="1:16" x14ac:dyDescent="0.2">
      <c r="A541" s="68">
        <v>16</v>
      </c>
      <c r="B541" s="349">
        <f>'Client 16'!S9</f>
        <v>0</v>
      </c>
      <c r="C541" s="2">
        <f>'Client 16'!T9</f>
        <v>0</v>
      </c>
      <c r="D541" s="2">
        <f>'Client 16'!U9</f>
        <v>0</v>
      </c>
      <c r="E541" s="2">
        <f>'Client 16'!V9</f>
        <v>0</v>
      </c>
      <c r="F541" s="350">
        <f>'Client 16'!W9</f>
        <v>0</v>
      </c>
      <c r="G541" s="2">
        <f>'Client 16'!X9</f>
        <v>0</v>
      </c>
      <c r="H541" s="2">
        <f>'Client 16'!Y9</f>
        <v>0</v>
      </c>
      <c r="I541" s="2">
        <f>'Client 16'!Z9</f>
        <v>0</v>
      </c>
      <c r="J541" s="2">
        <f>'Client 16'!AA9</f>
        <v>0</v>
      </c>
      <c r="K541" s="2">
        <f>'Client 16'!AB9</f>
        <v>0</v>
      </c>
      <c r="L541" s="2" cm="1">
        <f t="array" aca="1" ref="L541" ca="1">IF(B541=0,0,INDIRECT("MRN_"&amp;A541))</f>
        <v>0</v>
      </c>
      <c r="M541" s="2">
        <f t="shared" si="96"/>
        <v>0</v>
      </c>
      <c r="N541" s="2" t="str">
        <f t="shared" si="97"/>
        <v>No</v>
      </c>
      <c r="O541" s="2" t="str">
        <f t="shared" si="98"/>
        <v>No</v>
      </c>
      <c r="P541" s="2" t="str" cm="1">
        <f t="array" aca="1" ref="P541" ca="1">IF(OR(INDIRECT("MRN_"&amp;A541)="N/A",B541=0),"No","Yes")</f>
        <v>No</v>
      </c>
    </row>
    <row r="542" spans="1:16" x14ac:dyDescent="0.2">
      <c r="A542" s="68">
        <v>16</v>
      </c>
      <c r="B542" s="349">
        <f>'Client 16'!S10</f>
        <v>0</v>
      </c>
      <c r="C542" s="2">
        <f>'Client 16'!T10</f>
        <v>0</v>
      </c>
      <c r="D542" s="2">
        <f>'Client 16'!U10</f>
        <v>0</v>
      </c>
      <c r="E542" s="2">
        <f>'Client 16'!V10</f>
        <v>0</v>
      </c>
      <c r="F542" s="350">
        <f>'Client 16'!W10</f>
        <v>0</v>
      </c>
      <c r="G542" s="2">
        <f>'Client 16'!X10</f>
        <v>0</v>
      </c>
      <c r="H542" s="2">
        <f>'Client 16'!Y10</f>
        <v>0</v>
      </c>
      <c r="I542" s="2">
        <f>'Client 16'!Z10</f>
        <v>0</v>
      </c>
      <c r="J542" s="2">
        <f>'Client 16'!AA10</f>
        <v>0</v>
      </c>
      <c r="K542" s="2">
        <f>'Client 16'!AB10</f>
        <v>0</v>
      </c>
      <c r="L542" s="2" cm="1">
        <f t="array" aca="1" ref="L542" ca="1">IF(B542=0,0,INDIRECT("MRN_"&amp;A542))</f>
        <v>0</v>
      </c>
      <c r="M542" s="2">
        <f t="shared" si="96"/>
        <v>0</v>
      </c>
      <c r="N542" s="2" t="str">
        <f t="shared" si="97"/>
        <v>No</v>
      </c>
      <c r="O542" s="2" t="str">
        <f t="shared" si="98"/>
        <v>No</v>
      </c>
      <c r="P542" s="2" t="str" cm="1">
        <f t="array" aca="1" ref="P542" ca="1">IF(OR(INDIRECT("MRN_"&amp;A542)="N/A",B542=0),"No","Yes")</f>
        <v>No</v>
      </c>
    </row>
    <row r="543" spans="1:16" x14ac:dyDescent="0.2">
      <c r="A543" s="68">
        <v>16</v>
      </c>
      <c r="B543" s="349">
        <f>'Client 16'!S11</f>
        <v>0</v>
      </c>
      <c r="C543" s="2">
        <f>'Client 16'!T11</f>
        <v>0</v>
      </c>
      <c r="D543" s="2">
        <f>'Client 16'!U11</f>
        <v>0</v>
      </c>
      <c r="E543" s="2">
        <f>'Client 16'!V11</f>
        <v>0</v>
      </c>
      <c r="F543" s="350">
        <f>'Client 16'!W11</f>
        <v>0</v>
      </c>
      <c r="G543" s="2">
        <f>'Client 16'!X11</f>
        <v>0</v>
      </c>
      <c r="H543" s="2">
        <f>'Client 16'!Y11</f>
        <v>0</v>
      </c>
      <c r="I543" s="2">
        <f>'Client 16'!Z11</f>
        <v>0</v>
      </c>
      <c r="J543" s="2">
        <f>'Client 16'!AA11</f>
        <v>0</v>
      </c>
      <c r="K543" s="2">
        <f>'Client 16'!AB11</f>
        <v>0</v>
      </c>
      <c r="L543" s="2" cm="1">
        <f t="array" aca="1" ref="L543" ca="1">IF(B543=0,0,INDIRECT("MRN_"&amp;A543))</f>
        <v>0</v>
      </c>
      <c r="M543" s="2">
        <f t="shared" si="96"/>
        <v>0</v>
      </c>
      <c r="N543" s="2" t="str">
        <f t="shared" si="97"/>
        <v>No</v>
      </c>
      <c r="O543" s="2" t="str">
        <f t="shared" si="98"/>
        <v>No</v>
      </c>
      <c r="P543" s="2" t="str" cm="1">
        <f t="array" aca="1" ref="P543" ca="1">IF(OR(INDIRECT("MRN_"&amp;A543)="N/A",B543=0),"No","Yes")</f>
        <v>No</v>
      </c>
    </row>
    <row r="544" spans="1:16" x14ac:dyDescent="0.2">
      <c r="A544" s="68">
        <v>16</v>
      </c>
      <c r="B544" s="349">
        <f>'Client 16'!S12</f>
        <v>0</v>
      </c>
      <c r="C544" s="2">
        <f>'Client 16'!T12</f>
        <v>0</v>
      </c>
      <c r="D544" s="2">
        <f>'Client 16'!U12</f>
        <v>0</v>
      </c>
      <c r="E544" s="2">
        <f>'Client 16'!V12</f>
        <v>0</v>
      </c>
      <c r="F544" s="350">
        <f>'Client 16'!W12</f>
        <v>0</v>
      </c>
      <c r="G544" s="2">
        <f>'Client 16'!X12</f>
        <v>0</v>
      </c>
      <c r="H544" s="2">
        <f>'Client 16'!Y12</f>
        <v>0</v>
      </c>
      <c r="I544" s="2">
        <f>'Client 16'!Z12</f>
        <v>0</v>
      </c>
      <c r="J544" s="2">
        <f>'Client 16'!AA12</f>
        <v>0</v>
      </c>
      <c r="K544" s="2">
        <f>'Client 16'!AB12</f>
        <v>0</v>
      </c>
      <c r="L544" s="2" cm="1">
        <f t="array" aca="1" ref="L544" ca="1">IF(B544=0,0,INDIRECT("MRN_"&amp;A544))</f>
        <v>0</v>
      </c>
      <c r="M544" s="2">
        <f t="shared" si="96"/>
        <v>0</v>
      </c>
      <c r="N544" s="2" t="str">
        <f t="shared" si="97"/>
        <v>No</v>
      </c>
      <c r="O544" s="2" t="str">
        <f t="shared" si="98"/>
        <v>No</v>
      </c>
      <c r="P544" s="2" t="str" cm="1">
        <f t="array" aca="1" ref="P544" ca="1">IF(OR(INDIRECT("MRN_"&amp;A544)="N/A",B544=0),"No","Yes")</f>
        <v>No</v>
      </c>
    </row>
    <row r="545" spans="1:16" x14ac:dyDescent="0.2">
      <c r="A545" s="68">
        <v>16</v>
      </c>
      <c r="B545" s="349">
        <f>'Client 16'!S13</f>
        <v>0</v>
      </c>
      <c r="C545" s="2">
        <f>'Client 16'!T13</f>
        <v>0</v>
      </c>
      <c r="D545" s="2">
        <f>'Client 16'!U13</f>
        <v>0</v>
      </c>
      <c r="E545" s="2">
        <f>'Client 16'!V13</f>
        <v>0</v>
      </c>
      <c r="F545" s="350">
        <f>'Client 16'!W13</f>
        <v>0</v>
      </c>
      <c r="G545" s="2">
        <f>'Client 16'!X13</f>
        <v>0</v>
      </c>
      <c r="H545" s="2">
        <f>'Client 16'!Y13</f>
        <v>0</v>
      </c>
      <c r="I545" s="2">
        <f>'Client 16'!Z13</f>
        <v>0</v>
      </c>
      <c r="J545" s="2">
        <f>'Client 16'!AA13</f>
        <v>0</v>
      </c>
      <c r="K545" s="2">
        <f>'Client 16'!AB13</f>
        <v>0</v>
      </c>
      <c r="L545" s="2" cm="1">
        <f t="array" aca="1" ref="L545" ca="1">IF(B545=0,0,INDIRECT("MRN_"&amp;A545))</f>
        <v>0</v>
      </c>
      <c r="M545" s="2">
        <f t="shared" si="96"/>
        <v>0</v>
      </c>
      <c r="N545" s="2" t="str">
        <f t="shared" si="97"/>
        <v>No</v>
      </c>
      <c r="O545" s="2" t="str">
        <f t="shared" si="98"/>
        <v>No</v>
      </c>
      <c r="P545" s="2" t="str" cm="1">
        <f t="array" aca="1" ref="P545" ca="1">IF(OR(INDIRECT("MRN_"&amp;A545)="N/A",B545=0),"No","Yes")</f>
        <v>No</v>
      </c>
    </row>
    <row r="546" spans="1:16" x14ac:dyDescent="0.2">
      <c r="A546" s="68">
        <v>16</v>
      </c>
      <c r="B546" s="349">
        <f>'Client 16'!S14</f>
        <v>0</v>
      </c>
      <c r="C546" s="2">
        <f>'Client 16'!T14</f>
        <v>0</v>
      </c>
      <c r="D546" s="2">
        <f>'Client 16'!U14</f>
        <v>0</v>
      </c>
      <c r="E546" s="2">
        <f>'Client 16'!V14</f>
        <v>0</v>
      </c>
      <c r="F546" s="350">
        <f>'Client 16'!W14</f>
        <v>0</v>
      </c>
      <c r="G546" s="2">
        <f>'Client 16'!X14</f>
        <v>0</v>
      </c>
      <c r="H546" s="2">
        <f>'Client 16'!Y14</f>
        <v>0</v>
      </c>
      <c r="I546" s="2">
        <f>'Client 16'!Z14</f>
        <v>0</v>
      </c>
      <c r="J546" s="2">
        <f>'Client 16'!AA14</f>
        <v>0</v>
      </c>
      <c r="K546" s="2">
        <f>'Client 16'!AB14</f>
        <v>0</v>
      </c>
      <c r="L546" s="2" cm="1">
        <f t="array" aca="1" ref="L546" ca="1">IF(B546=0,0,INDIRECT("MRN_"&amp;A546))</f>
        <v>0</v>
      </c>
      <c r="M546" s="2">
        <f t="shared" si="96"/>
        <v>0</v>
      </c>
      <c r="N546" s="2" t="str">
        <f t="shared" si="97"/>
        <v>No</v>
      </c>
      <c r="O546" s="2" t="str">
        <f t="shared" si="98"/>
        <v>No</v>
      </c>
      <c r="P546" s="2" t="str" cm="1">
        <f t="array" aca="1" ref="P546" ca="1">IF(OR(INDIRECT("MRN_"&amp;A546)="N/A",B546=0),"No","Yes")</f>
        <v>No</v>
      </c>
    </row>
    <row r="547" spans="1:16" x14ac:dyDescent="0.2">
      <c r="A547" s="68">
        <v>16</v>
      </c>
      <c r="B547" s="349">
        <f>'Client 16'!S15</f>
        <v>0</v>
      </c>
      <c r="C547" s="2">
        <f>'Client 16'!T15</f>
        <v>0</v>
      </c>
      <c r="D547" s="2">
        <f>'Client 16'!U15</f>
        <v>0</v>
      </c>
      <c r="E547" s="2">
        <f>'Client 16'!V15</f>
        <v>0</v>
      </c>
      <c r="F547" s="350">
        <f>'Client 16'!W15</f>
        <v>0</v>
      </c>
      <c r="G547" s="2">
        <f>'Client 16'!X15</f>
        <v>0</v>
      </c>
      <c r="H547" s="2">
        <f>'Client 16'!Y15</f>
        <v>0</v>
      </c>
      <c r="I547" s="2">
        <f>'Client 16'!Z15</f>
        <v>0</v>
      </c>
      <c r="J547" s="2">
        <f>'Client 16'!AA15</f>
        <v>0</v>
      </c>
      <c r="K547" s="2">
        <f>'Client 16'!AB15</f>
        <v>0</v>
      </c>
      <c r="L547" s="2" cm="1">
        <f t="array" aca="1" ref="L547" ca="1">IF(B547=0,0,INDIRECT("MRN_"&amp;A547))</f>
        <v>0</v>
      </c>
      <c r="M547" s="2">
        <f t="shared" si="96"/>
        <v>0</v>
      </c>
      <c r="N547" s="2" t="str">
        <f t="shared" si="97"/>
        <v>No</v>
      </c>
      <c r="O547" s="2" t="str">
        <f t="shared" si="98"/>
        <v>No</v>
      </c>
      <c r="P547" s="2" t="str" cm="1">
        <f t="array" aca="1" ref="P547" ca="1">IF(OR(INDIRECT("MRN_"&amp;A547)="N/A",B547=0),"No","Yes")</f>
        <v>No</v>
      </c>
    </row>
    <row r="548" spans="1:16" x14ac:dyDescent="0.2">
      <c r="A548" s="68">
        <v>16</v>
      </c>
      <c r="B548" s="349">
        <f>'Client 16'!S16</f>
        <v>0</v>
      </c>
      <c r="C548" s="2">
        <f>'Client 16'!T16</f>
        <v>0</v>
      </c>
      <c r="D548" s="2">
        <f>'Client 16'!U16</f>
        <v>0</v>
      </c>
      <c r="E548" s="2">
        <f>'Client 16'!V16</f>
        <v>0</v>
      </c>
      <c r="F548" s="350">
        <f>'Client 16'!W16</f>
        <v>0</v>
      </c>
      <c r="G548" s="2">
        <f>'Client 16'!X16</f>
        <v>0</v>
      </c>
      <c r="H548" s="2">
        <f>'Client 16'!Y16</f>
        <v>0</v>
      </c>
      <c r="I548" s="2">
        <f>'Client 16'!Z16</f>
        <v>0</v>
      </c>
      <c r="J548" s="2">
        <f>'Client 16'!AA16</f>
        <v>0</v>
      </c>
      <c r="K548" s="2">
        <f>'Client 16'!AB16</f>
        <v>0</v>
      </c>
      <c r="L548" s="2" cm="1">
        <f t="array" aca="1" ref="L548" ca="1">IF(B548=0,0,INDIRECT("MRN_"&amp;A548))</f>
        <v>0</v>
      </c>
      <c r="M548" s="2">
        <f t="shared" si="96"/>
        <v>0</v>
      </c>
      <c r="N548" s="2" t="str">
        <f t="shared" si="97"/>
        <v>No</v>
      </c>
      <c r="O548" s="2" t="str">
        <f t="shared" si="98"/>
        <v>No</v>
      </c>
      <c r="P548" s="2" t="str" cm="1">
        <f t="array" aca="1" ref="P548" ca="1">IF(OR(INDIRECT("MRN_"&amp;A548)="N/A",B548=0),"No","Yes")</f>
        <v>No</v>
      </c>
    </row>
    <row r="549" spans="1:16" x14ac:dyDescent="0.2">
      <c r="A549" s="68">
        <v>16</v>
      </c>
      <c r="B549" s="349">
        <f>'Client 16'!S17</f>
        <v>0</v>
      </c>
      <c r="C549" s="2">
        <f>'Client 16'!T17</f>
        <v>0</v>
      </c>
      <c r="D549" s="2">
        <f>'Client 16'!U17</f>
        <v>0</v>
      </c>
      <c r="E549" s="2">
        <f>'Client 16'!V17</f>
        <v>0</v>
      </c>
      <c r="F549" s="350">
        <f>'Client 16'!W17</f>
        <v>0</v>
      </c>
      <c r="G549" s="2">
        <f>'Client 16'!X17</f>
        <v>0</v>
      </c>
      <c r="H549" s="2">
        <f>'Client 16'!Y17</f>
        <v>0</v>
      </c>
      <c r="I549" s="2">
        <f>'Client 16'!Z17</f>
        <v>0</v>
      </c>
      <c r="J549" s="2">
        <f>'Client 16'!AA17</f>
        <v>0</v>
      </c>
      <c r="K549" s="2">
        <f>'Client 16'!AB17</f>
        <v>0</v>
      </c>
      <c r="L549" s="2" cm="1">
        <f t="array" aca="1" ref="L549" ca="1">IF(B549=0,0,INDIRECT("MRN_"&amp;A549))</f>
        <v>0</v>
      </c>
      <c r="M549" s="2">
        <f t="shared" si="96"/>
        <v>0</v>
      </c>
      <c r="N549" s="2" t="str">
        <f t="shared" si="97"/>
        <v>No</v>
      </c>
      <c r="O549" s="2" t="str">
        <f t="shared" si="98"/>
        <v>No</v>
      </c>
      <c r="P549" s="2" t="str" cm="1">
        <f t="array" aca="1" ref="P549" ca="1">IF(OR(INDIRECT("MRN_"&amp;A549)="N/A",B549=0),"No","Yes")</f>
        <v>No</v>
      </c>
    </row>
    <row r="550" spans="1:16" x14ac:dyDescent="0.2">
      <c r="A550" s="68">
        <v>16</v>
      </c>
      <c r="B550" s="349">
        <f>'Client 16'!S18</f>
        <v>0</v>
      </c>
      <c r="C550" s="2">
        <f>'Client 16'!T18</f>
        <v>0</v>
      </c>
      <c r="D550" s="2">
        <f>'Client 16'!U18</f>
        <v>0</v>
      </c>
      <c r="E550" s="2">
        <f>'Client 16'!V18</f>
        <v>0</v>
      </c>
      <c r="F550" s="350">
        <f>'Client 16'!W18</f>
        <v>0</v>
      </c>
      <c r="G550" s="2">
        <f>'Client 16'!X18</f>
        <v>0</v>
      </c>
      <c r="H550" s="2">
        <f>'Client 16'!Y18</f>
        <v>0</v>
      </c>
      <c r="I550" s="2">
        <f>'Client 16'!Z18</f>
        <v>0</v>
      </c>
      <c r="J550" s="2">
        <f>'Client 16'!AA18</f>
        <v>0</v>
      </c>
      <c r="K550" s="2">
        <f>'Client 16'!AB18</f>
        <v>0</v>
      </c>
      <c r="L550" s="2" cm="1">
        <f t="array" aca="1" ref="L550" ca="1">IF(B550=0,0,INDIRECT("MRN_"&amp;A550))</f>
        <v>0</v>
      </c>
      <c r="M550" s="2">
        <f t="shared" si="96"/>
        <v>0</v>
      </c>
      <c r="N550" s="2" t="str">
        <f t="shared" si="97"/>
        <v>No</v>
      </c>
      <c r="O550" s="2" t="str">
        <f t="shared" si="98"/>
        <v>No</v>
      </c>
      <c r="P550" s="2" t="str" cm="1">
        <f t="array" aca="1" ref="P550" ca="1">IF(OR(INDIRECT("MRN_"&amp;A550)="N/A",B550=0),"No","Yes")</f>
        <v>No</v>
      </c>
    </row>
    <row r="551" spans="1:16" x14ac:dyDescent="0.2">
      <c r="A551" s="68">
        <v>16</v>
      </c>
      <c r="B551" s="349">
        <f>'Client 16'!S19</f>
        <v>0</v>
      </c>
      <c r="C551" s="2">
        <f>'Client 16'!T19</f>
        <v>0</v>
      </c>
      <c r="D551" s="2">
        <f>'Client 16'!U19</f>
        <v>0</v>
      </c>
      <c r="E551" s="2">
        <f>'Client 16'!V19</f>
        <v>0</v>
      </c>
      <c r="F551" s="350">
        <f>'Client 16'!W19</f>
        <v>0</v>
      </c>
      <c r="G551" s="2">
        <f>'Client 16'!X19</f>
        <v>0</v>
      </c>
      <c r="H551" s="2">
        <f>'Client 16'!Y19</f>
        <v>0</v>
      </c>
      <c r="I551" s="2">
        <f>'Client 16'!Z19</f>
        <v>0</v>
      </c>
      <c r="J551" s="2">
        <f>'Client 16'!AA19</f>
        <v>0</v>
      </c>
      <c r="K551" s="2">
        <f>'Client 16'!AB19</f>
        <v>0</v>
      </c>
      <c r="L551" s="2" cm="1">
        <f t="array" aca="1" ref="L551" ca="1">IF(B551=0,0,INDIRECT("MRN_"&amp;A551))</f>
        <v>0</v>
      </c>
      <c r="M551" s="2">
        <f t="shared" si="96"/>
        <v>0</v>
      </c>
      <c r="N551" s="2" t="str">
        <f t="shared" si="97"/>
        <v>No</v>
      </c>
      <c r="O551" s="2" t="str">
        <f t="shared" si="98"/>
        <v>No</v>
      </c>
      <c r="P551" s="2" t="str" cm="1">
        <f t="array" aca="1" ref="P551" ca="1">IF(OR(INDIRECT("MRN_"&amp;A551)="N/A",B551=0),"No","Yes")</f>
        <v>No</v>
      </c>
    </row>
    <row r="552" spans="1:16" x14ac:dyDescent="0.2">
      <c r="A552" s="68">
        <v>16</v>
      </c>
      <c r="B552" s="349">
        <f>'Client 16'!S20</f>
        <v>0</v>
      </c>
      <c r="C552" s="2">
        <f>'Client 16'!T20</f>
        <v>0</v>
      </c>
      <c r="D552" s="2">
        <f>'Client 16'!U20</f>
        <v>0</v>
      </c>
      <c r="E552" s="2">
        <f>'Client 16'!V20</f>
        <v>0</v>
      </c>
      <c r="F552" s="350">
        <f>'Client 16'!W20</f>
        <v>0</v>
      </c>
      <c r="G552" s="2">
        <f>'Client 16'!X20</f>
        <v>0</v>
      </c>
      <c r="H552" s="2">
        <f>'Client 16'!Y20</f>
        <v>0</v>
      </c>
      <c r="I552" s="2">
        <f>'Client 16'!Z20</f>
        <v>0</v>
      </c>
      <c r="J552" s="2">
        <f>'Client 16'!AA20</f>
        <v>0</v>
      </c>
      <c r="K552" s="2">
        <f>'Client 16'!AB20</f>
        <v>0</v>
      </c>
      <c r="L552" s="2" cm="1">
        <f t="array" aca="1" ref="L552" ca="1">IF(B552=0,0,INDIRECT("MRN_"&amp;A552))</f>
        <v>0</v>
      </c>
      <c r="M552" s="2">
        <f t="shared" si="96"/>
        <v>0</v>
      </c>
      <c r="N552" s="2" t="str">
        <f t="shared" si="97"/>
        <v>No</v>
      </c>
      <c r="O552" s="2" t="str">
        <f t="shared" si="98"/>
        <v>No</v>
      </c>
      <c r="P552" s="2" t="str" cm="1">
        <f t="array" aca="1" ref="P552" ca="1">IF(OR(INDIRECT("MRN_"&amp;A552)="N/A",B552=0),"No","Yes")</f>
        <v>No</v>
      </c>
    </row>
    <row r="553" spans="1:16" x14ac:dyDescent="0.2">
      <c r="A553" s="68">
        <v>16</v>
      </c>
      <c r="B553" s="349">
        <f>'Client 16'!S21</f>
        <v>0</v>
      </c>
      <c r="C553" s="2">
        <f>'Client 16'!T21</f>
        <v>0</v>
      </c>
      <c r="D553" s="2">
        <f>'Client 16'!U21</f>
        <v>0</v>
      </c>
      <c r="E553" s="2">
        <f>'Client 16'!V21</f>
        <v>0</v>
      </c>
      <c r="F553" s="350">
        <f>'Client 16'!W21</f>
        <v>0</v>
      </c>
      <c r="G553" s="2">
        <f>'Client 16'!X21</f>
        <v>0</v>
      </c>
      <c r="H553" s="2">
        <f>'Client 16'!Y21</f>
        <v>0</v>
      </c>
      <c r="I553" s="2">
        <f>'Client 16'!Z21</f>
        <v>0</v>
      </c>
      <c r="J553" s="2">
        <f>'Client 16'!AA21</f>
        <v>0</v>
      </c>
      <c r="K553" s="2">
        <f>'Client 16'!AB21</f>
        <v>0</v>
      </c>
      <c r="L553" s="2" cm="1">
        <f t="array" aca="1" ref="L553" ca="1">IF(B553=0,0,INDIRECT("MRN_"&amp;A553))</f>
        <v>0</v>
      </c>
      <c r="M553" s="2">
        <f t="shared" si="96"/>
        <v>0</v>
      </c>
      <c r="N553" s="2" t="str">
        <f t="shared" si="97"/>
        <v>No</v>
      </c>
      <c r="O553" s="2" t="str">
        <f t="shared" si="98"/>
        <v>No</v>
      </c>
      <c r="P553" s="2" t="str" cm="1">
        <f t="array" aca="1" ref="P553" ca="1">IF(OR(INDIRECT("MRN_"&amp;A553)="N/A",B553=0),"No","Yes")</f>
        <v>No</v>
      </c>
    </row>
    <row r="554" spans="1:16" x14ac:dyDescent="0.2">
      <c r="A554" s="68">
        <v>16</v>
      </c>
      <c r="B554" s="349">
        <f>'Client 16'!S22</f>
        <v>0</v>
      </c>
      <c r="C554" s="2">
        <f>'Client 16'!T22</f>
        <v>0</v>
      </c>
      <c r="D554" s="2">
        <f>'Client 16'!U22</f>
        <v>0</v>
      </c>
      <c r="E554" s="2">
        <f>'Client 16'!V22</f>
        <v>0</v>
      </c>
      <c r="F554" s="350">
        <f>'Client 16'!W22</f>
        <v>0</v>
      </c>
      <c r="G554" s="2">
        <f>'Client 16'!X22</f>
        <v>0</v>
      </c>
      <c r="H554" s="2">
        <f>'Client 16'!Y22</f>
        <v>0</v>
      </c>
      <c r="I554" s="2">
        <f>'Client 16'!Z22</f>
        <v>0</v>
      </c>
      <c r="J554" s="2">
        <f>'Client 16'!AA22</f>
        <v>0</v>
      </c>
      <c r="K554" s="2">
        <f>'Client 16'!AB22</f>
        <v>0</v>
      </c>
      <c r="L554" s="2" cm="1">
        <f t="array" aca="1" ref="L554" ca="1">IF(B554=0,0,INDIRECT("MRN_"&amp;A554))</f>
        <v>0</v>
      </c>
      <c r="M554" s="2">
        <f t="shared" si="96"/>
        <v>0</v>
      </c>
      <c r="N554" s="2" t="str">
        <f t="shared" si="97"/>
        <v>No</v>
      </c>
      <c r="O554" s="2" t="str">
        <f t="shared" si="98"/>
        <v>No</v>
      </c>
      <c r="P554" s="2" t="str" cm="1">
        <f t="array" aca="1" ref="P554" ca="1">IF(OR(INDIRECT("MRN_"&amp;A554)="N/A",B554=0),"No","Yes")</f>
        <v>No</v>
      </c>
    </row>
    <row r="555" spans="1:16" x14ac:dyDescent="0.2">
      <c r="A555" s="68">
        <v>16</v>
      </c>
      <c r="B555" s="349">
        <f>'Client 16'!S23</f>
        <v>0</v>
      </c>
      <c r="C555" s="2">
        <f>'Client 16'!T23</f>
        <v>0</v>
      </c>
      <c r="D555" s="2">
        <f>'Client 16'!U23</f>
        <v>0</v>
      </c>
      <c r="E555" s="2">
        <f>'Client 16'!V23</f>
        <v>0</v>
      </c>
      <c r="F555" s="350">
        <f>'Client 16'!W23</f>
        <v>0</v>
      </c>
      <c r="G555" s="2">
        <f>'Client 16'!X23</f>
        <v>0</v>
      </c>
      <c r="H555" s="2">
        <f>'Client 16'!Y23</f>
        <v>0</v>
      </c>
      <c r="I555" s="2">
        <f>'Client 16'!Z23</f>
        <v>0</v>
      </c>
      <c r="J555" s="2">
        <f>'Client 16'!AA23</f>
        <v>0</v>
      </c>
      <c r="K555" s="2">
        <f>'Client 16'!AB23</f>
        <v>0</v>
      </c>
      <c r="L555" s="2" cm="1">
        <f t="array" aca="1" ref="L555" ca="1">IF(B555=0,0,INDIRECT("MRN_"&amp;A555))</f>
        <v>0</v>
      </c>
      <c r="M555" s="2">
        <f t="shared" si="96"/>
        <v>0</v>
      </c>
      <c r="N555" s="2" t="str">
        <f t="shared" si="97"/>
        <v>No</v>
      </c>
      <c r="O555" s="2" t="str">
        <f t="shared" si="98"/>
        <v>No</v>
      </c>
      <c r="P555" s="2" t="str" cm="1">
        <f t="array" aca="1" ref="P555" ca="1">IF(OR(INDIRECT("MRN_"&amp;A555)="N/A",B555=0),"No","Yes")</f>
        <v>No</v>
      </c>
    </row>
    <row r="556" spans="1:16" x14ac:dyDescent="0.2">
      <c r="A556" s="68">
        <v>16</v>
      </c>
      <c r="B556" s="349">
        <f>'Client 16'!S24</f>
        <v>0</v>
      </c>
      <c r="C556" s="2">
        <f>'Client 16'!T24</f>
        <v>0</v>
      </c>
      <c r="D556" s="2">
        <f>'Client 16'!U24</f>
        <v>0</v>
      </c>
      <c r="E556" s="2">
        <f>'Client 16'!V24</f>
        <v>0</v>
      </c>
      <c r="F556" s="350">
        <f>'Client 16'!W24</f>
        <v>0</v>
      </c>
      <c r="G556" s="2">
        <f>'Client 16'!X24</f>
        <v>0</v>
      </c>
      <c r="H556" s="2">
        <f>'Client 16'!Y24</f>
        <v>0</v>
      </c>
      <c r="I556" s="2">
        <f>'Client 16'!Z24</f>
        <v>0</v>
      </c>
      <c r="J556" s="2">
        <f>'Client 16'!AA24</f>
        <v>0</v>
      </c>
      <c r="K556" s="2">
        <f>'Client 16'!AB24</f>
        <v>0</v>
      </c>
      <c r="L556" s="2" cm="1">
        <f t="array" aca="1" ref="L556" ca="1">IF(B556=0,0,INDIRECT("MRN_"&amp;A556))</f>
        <v>0</v>
      </c>
      <c r="M556" s="2">
        <f t="shared" si="96"/>
        <v>0</v>
      </c>
      <c r="N556" s="2" t="str">
        <f t="shared" si="97"/>
        <v>No</v>
      </c>
      <c r="O556" s="2" t="str">
        <f t="shared" si="98"/>
        <v>No</v>
      </c>
      <c r="P556" s="2" t="str" cm="1">
        <f t="array" aca="1" ref="P556" ca="1">IF(OR(INDIRECT("MRN_"&amp;A556)="N/A",B556=0),"No","Yes")</f>
        <v>No</v>
      </c>
    </row>
    <row r="557" spans="1:16" x14ac:dyDescent="0.2">
      <c r="A557" s="68">
        <v>16</v>
      </c>
      <c r="B557" s="349">
        <f>'Client 16'!S25</f>
        <v>0</v>
      </c>
      <c r="C557" s="2">
        <f>'Client 16'!T25</f>
        <v>0</v>
      </c>
      <c r="D557" s="2">
        <f>'Client 16'!U25</f>
        <v>0</v>
      </c>
      <c r="E557" s="2">
        <f>'Client 16'!V25</f>
        <v>0</v>
      </c>
      <c r="F557" s="350">
        <f>'Client 16'!W25</f>
        <v>0</v>
      </c>
      <c r="G557" s="2">
        <f>'Client 16'!X25</f>
        <v>0</v>
      </c>
      <c r="H557" s="2">
        <f>'Client 16'!Y25</f>
        <v>0</v>
      </c>
      <c r="I557" s="2">
        <f>'Client 16'!Z25</f>
        <v>0</v>
      </c>
      <c r="J557" s="2">
        <f>'Client 16'!AA25</f>
        <v>0</v>
      </c>
      <c r="K557" s="2">
        <f>'Client 16'!AB25</f>
        <v>0</v>
      </c>
      <c r="L557" s="2" cm="1">
        <f t="array" aca="1" ref="L557" ca="1">IF(B557=0,0,INDIRECT("MRN_"&amp;A557))</f>
        <v>0</v>
      </c>
      <c r="M557" s="2">
        <f t="shared" si="96"/>
        <v>0</v>
      </c>
      <c r="N557" s="2" t="str">
        <f t="shared" si="97"/>
        <v>No</v>
      </c>
      <c r="O557" s="2" t="str">
        <f t="shared" si="98"/>
        <v>No</v>
      </c>
      <c r="P557" s="2" t="str" cm="1">
        <f t="array" aca="1" ref="P557" ca="1">IF(OR(INDIRECT("MRN_"&amp;A557)="N/A",B557=0),"No","Yes")</f>
        <v>No</v>
      </c>
    </row>
    <row r="558" spans="1:16" x14ac:dyDescent="0.2">
      <c r="A558" s="68">
        <v>16</v>
      </c>
      <c r="B558" s="349">
        <f>'Client 16'!S26</f>
        <v>0</v>
      </c>
      <c r="C558" s="2">
        <f>'Client 16'!T26</f>
        <v>0</v>
      </c>
      <c r="D558" s="2">
        <f>'Client 16'!U26</f>
        <v>0</v>
      </c>
      <c r="E558" s="2">
        <f>'Client 16'!V26</f>
        <v>0</v>
      </c>
      <c r="F558" s="350">
        <f>'Client 16'!W26</f>
        <v>0</v>
      </c>
      <c r="G558" s="2">
        <f>'Client 16'!X26</f>
        <v>0</v>
      </c>
      <c r="H558" s="2">
        <f>'Client 16'!Y26</f>
        <v>0</v>
      </c>
      <c r="I558" s="2">
        <f>'Client 16'!Z26</f>
        <v>0</v>
      </c>
      <c r="J558" s="2">
        <f>'Client 16'!AA26</f>
        <v>0</v>
      </c>
      <c r="K558" s="2">
        <f>'Client 16'!AB26</f>
        <v>0</v>
      </c>
      <c r="L558" s="2" cm="1">
        <f t="array" aca="1" ref="L558" ca="1">IF(B558=0,0,INDIRECT("MRN_"&amp;A558))</f>
        <v>0</v>
      </c>
      <c r="M558" s="2">
        <f t="shared" si="96"/>
        <v>0</v>
      </c>
      <c r="N558" s="2" t="str">
        <f t="shared" si="97"/>
        <v>No</v>
      </c>
      <c r="O558" s="2" t="str">
        <f t="shared" si="98"/>
        <v>No</v>
      </c>
      <c r="P558" s="2" t="str" cm="1">
        <f t="array" aca="1" ref="P558" ca="1">IF(OR(INDIRECT("MRN_"&amp;A558)="N/A",B558=0),"No","Yes")</f>
        <v>No</v>
      </c>
    </row>
    <row r="559" spans="1:16" x14ac:dyDescent="0.2">
      <c r="A559" s="68">
        <v>16</v>
      </c>
      <c r="B559" s="349">
        <f>'Client 16'!S27</f>
        <v>0</v>
      </c>
      <c r="C559" s="2">
        <f>'Client 16'!T27</f>
        <v>0</v>
      </c>
      <c r="D559" s="2">
        <f>'Client 16'!U27</f>
        <v>0</v>
      </c>
      <c r="E559" s="2">
        <f>'Client 16'!V27</f>
        <v>0</v>
      </c>
      <c r="F559" s="350">
        <f>'Client 16'!W27</f>
        <v>0</v>
      </c>
      <c r="G559" s="2">
        <f>'Client 16'!X27</f>
        <v>0</v>
      </c>
      <c r="H559" s="2">
        <f>'Client 16'!Y27</f>
        <v>0</v>
      </c>
      <c r="I559" s="2">
        <f>'Client 16'!Z27</f>
        <v>0</v>
      </c>
      <c r="J559" s="2">
        <f>'Client 16'!AA27</f>
        <v>0</v>
      </c>
      <c r="K559" s="2">
        <f>'Client 16'!AB27</f>
        <v>0</v>
      </c>
      <c r="L559" s="2" cm="1">
        <f t="array" aca="1" ref="L559" ca="1">IF(B559=0,0,INDIRECT("MRN_"&amp;A559))</f>
        <v>0</v>
      </c>
      <c r="M559" s="2">
        <f t="shared" si="96"/>
        <v>0</v>
      </c>
      <c r="N559" s="2" t="str">
        <f t="shared" si="97"/>
        <v>No</v>
      </c>
      <c r="O559" s="2" t="str">
        <f t="shared" si="98"/>
        <v>No</v>
      </c>
      <c r="P559" s="2" t="str" cm="1">
        <f t="array" aca="1" ref="P559" ca="1">IF(OR(INDIRECT("MRN_"&amp;A559)="N/A",B559=0),"No","Yes")</f>
        <v>No</v>
      </c>
    </row>
    <row r="560" spans="1:16" x14ac:dyDescent="0.2">
      <c r="A560" s="68">
        <v>16</v>
      </c>
      <c r="B560" s="349">
        <f>'Client 16'!S28</f>
        <v>0</v>
      </c>
      <c r="C560" s="2">
        <f>'Client 16'!T28</f>
        <v>0</v>
      </c>
      <c r="D560" s="2">
        <f>'Client 16'!U28</f>
        <v>0</v>
      </c>
      <c r="E560" s="2">
        <f>'Client 16'!V28</f>
        <v>0</v>
      </c>
      <c r="F560" s="350">
        <f>'Client 16'!W28</f>
        <v>0</v>
      </c>
      <c r="G560" s="2">
        <f>'Client 16'!X28</f>
        <v>0</v>
      </c>
      <c r="H560" s="2">
        <f>'Client 16'!Y28</f>
        <v>0</v>
      </c>
      <c r="I560" s="2">
        <f>'Client 16'!Z28</f>
        <v>0</v>
      </c>
      <c r="J560" s="2">
        <f>'Client 16'!AA28</f>
        <v>0</v>
      </c>
      <c r="K560" s="2">
        <f>'Client 16'!AB28</f>
        <v>0</v>
      </c>
      <c r="L560" s="2" cm="1">
        <f t="array" aca="1" ref="L560" ca="1">IF(B560=0,0,INDIRECT("MRN_"&amp;A560))</f>
        <v>0</v>
      </c>
      <c r="M560" s="2">
        <f t="shared" si="96"/>
        <v>0</v>
      </c>
      <c r="N560" s="2" t="str">
        <f t="shared" si="97"/>
        <v>No</v>
      </c>
      <c r="O560" s="2" t="str">
        <f t="shared" si="98"/>
        <v>No</v>
      </c>
      <c r="P560" s="2" t="str" cm="1">
        <f t="array" aca="1" ref="P560" ca="1">IF(OR(INDIRECT("MRN_"&amp;A560)="N/A",B560=0),"No","Yes")</f>
        <v>No</v>
      </c>
    </row>
    <row r="561" spans="1:16" x14ac:dyDescent="0.2">
      <c r="A561" s="68">
        <v>16</v>
      </c>
      <c r="B561" s="349">
        <f>'Client 16'!S29</f>
        <v>0</v>
      </c>
      <c r="C561" s="2">
        <f>'Client 16'!T29</f>
        <v>0</v>
      </c>
      <c r="D561" s="2">
        <f>'Client 16'!U29</f>
        <v>0</v>
      </c>
      <c r="E561" s="2">
        <f>'Client 16'!V29</f>
        <v>0</v>
      </c>
      <c r="F561" s="350">
        <f>'Client 16'!W29</f>
        <v>0</v>
      </c>
      <c r="G561" s="2">
        <f>'Client 16'!X29</f>
        <v>0</v>
      </c>
      <c r="H561" s="2">
        <f>'Client 16'!Y29</f>
        <v>0</v>
      </c>
      <c r="I561" s="2">
        <f>'Client 16'!Z29</f>
        <v>0</v>
      </c>
      <c r="J561" s="2">
        <f>'Client 16'!AA29</f>
        <v>0</v>
      </c>
      <c r="K561" s="2">
        <f>'Client 16'!AB29</f>
        <v>0</v>
      </c>
      <c r="L561" s="2" cm="1">
        <f t="array" aca="1" ref="L561" ca="1">IF(B561=0,0,INDIRECT("MRN_"&amp;A561))</f>
        <v>0</v>
      </c>
      <c r="M561" s="2">
        <f t="shared" si="96"/>
        <v>0</v>
      </c>
      <c r="N561" s="2" t="str">
        <f t="shared" si="97"/>
        <v>No</v>
      </c>
      <c r="O561" s="2" t="str">
        <f t="shared" si="98"/>
        <v>No</v>
      </c>
      <c r="P561" s="2" t="str" cm="1">
        <f t="array" aca="1" ref="P561" ca="1">IF(OR(INDIRECT("MRN_"&amp;A561)="N/A",B561=0),"No","Yes")</f>
        <v>No</v>
      </c>
    </row>
    <row r="562" spans="1:16" x14ac:dyDescent="0.2">
      <c r="A562" s="68">
        <v>16</v>
      </c>
      <c r="B562" s="349">
        <f>'Client 16'!S30</f>
        <v>0</v>
      </c>
      <c r="C562" s="2">
        <f>'Client 16'!T30</f>
        <v>0</v>
      </c>
      <c r="D562" s="2">
        <f>'Client 16'!U30</f>
        <v>0</v>
      </c>
      <c r="E562" s="2">
        <f>'Client 16'!V30</f>
        <v>0</v>
      </c>
      <c r="F562" s="350">
        <f>'Client 16'!W30</f>
        <v>0</v>
      </c>
      <c r="G562" s="2">
        <f>'Client 16'!X30</f>
        <v>0</v>
      </c>
      <c r="H562" s="2">
        <f>'Client 16'!Y30</f>
        <v>0</v>
      </c>
      <c r="I562" s="2">
        <f>'Client 16'!Z30</f>
        <v>0</v>
      </c>
      <c r="J562" s="2">
        <f>'Client 16'!AA30</f>
        <v>0</v>
      </c>
      <c r="K562" s="2">
        <f>'Client 16'!AB30</f>
        <v>0</v>
      </c>
      <c r="L562" s="2" cm="1">
        <f t="array" aca="1" ref="L562" ca="1">IF(B562=0,0,INDIRECT("MRN_"&amp;A562))</f>
        <v>0</v>
      </c>
      <c r="M562" s="2">
        <f t="shared" si="96"/>
        <v>0</v>
      </c>
      <c r="N562" s="2" t="str">
        <f t="shared" si="97"/>
        <v>No</v>
      </c>
      <c r="O562" s="2" t="str">
        <f t="shared" si="98"/>
        <v>No</v>
      </c>
      <c r="P562" s="2" t="str" cm="1">
        <f t="array" aca="1" ref="P562" ca="1">IF(OR(INDIRECT("MRN_"&amp;A562)="N/A",B562=0),"No","Yes")</f>
        <v>No</v>
      </c>
    </row>
    <row r="563" spans="1:16" x14ac:dyDescent="0.2">
      <c r="A563" s="68">
        <v>16</v>
      </c>
      <c r="B563" s="349">
        <f>'Client 16'!S31</f>
        <v>0</v>
      </c>
      <c r="C563" s="2">
        <f>'Client 16'!T31</f>
        <v>0</v>
      </c>
      <c r="D563" s="2">
        <f>'Client 16'!U31</f>
        <v>0</v>
      </c>
      <c r="E563" s="2">
        <f>'Client 16'!V31</f>
        <v>0</v>
      </c>
      <c r="F563" s="350">
        <f>'Client 16'!W31</f>
        <v>0</v>
      </c>
      <c r="G563" s="2">
        <f>'Client 16'!X31</f>
        <v>0</v>
      </c>
      <c r="H563" s="2">
        <f>'Client 16'!Y31</f>
        <v>0</v>
      </c>
      <c r="I563" s="2">
        <f>'Client 16'!Z31</f>
        <v>0</v>
      </c>
      <c r="J563" s="2">
        <f>'Client 16'!AA31</f>
        <v>0</v>
      </c>
      <c r="K563" s="2">
        <f>'Client 16'!AB31</f>
        <v>0</v>
      </c>
      <c r="L563" s="2" cm="1">
        <f t="array" aca="1" ref="L563" ca="1">IF(B563=0,0,INDIRECT("MRN_"&amp;A563))</f>
        <v>0</v>
      </c>
      <c r="M563" s="2">
        <f t="shared" si="96"/>
        <v>0</v>
      </c>
      <c r="N563" s="2" t="str">
        <f t="shared" si="97"/>
        <v>No</v>
      </c>
      <c r="O563" s="2" t="str">
        <f t="shared" si="98"/>
        <v>No</v>
      </c>
      <c r="P563" s="2" t="str" cm="1">
        <f t="array" aca="1" ref="P563" ca="1">IF(OR(INDIRECT("MRN_"&amp;A563)="N/A",B563=0),"No","Yes")</f>
        <v>No</v>
      </c>
    </row>
    <row r="564" spans="1:16" x14ac:dyDescent="0.2">
      <c r="A564" s="68">
        <v>16</v>
      </c>
      <c r="B564" s="349">
        <f>'Client 16'!S32</f>
        <v>0</v>
      </c>
      <c r="C564" s="2">
        <f>'Client 16'!T32</f>
        <v>0</v>
      </c>
      <c r="D564" s="2">
        <f>'Client 16'!U32</f>
        <v>0</v>
      </c>
      <c r="E564" s="2">
        <f>'Client 16'!V32</f>
        <v>0</v>
      </c>
      <c r="F564" s="350">
        <f>'Client 16'!W32</f>
        <v>0</v>
      </c>
      <c r="G564" s="2">
        <f>'Client 16'!X32</f>
        <v>0</v>
      </c>
      <c r="H564" s="2">
        <f>'Client 16'!Y32</f>
        <v>0</v>
      </c>
      <c r="I564" s="2">
        <f>'Client 16'!Z32</f>
        <v>0</v>
      </c>
      <c r="J564" s="2">
        <f>'Client 16'!AA32</f>
        <v>0</v>
      </c>
      <c r="K564" s="2">
        <f>'Client 16'!AB32</f>
        <v>0</v>
      </c>
      <c r="L564" s="2" cm="1">
        <f t="array" aca="1" ref="L564" ca="1">IF(B564=0,0,INDIRECT("MRN_"&amp;A564))</f>
        <v>0</v>
      </c>
      <c r="M564" s="2">
        <f t="shared" si="96"/>
        <v>0</v>
      </c>
      <c r="N564" s="2" t="str">
        <f t="shared" si="97"/>
        <v>No</v>
      </c>
      <c r="O564" s="2" t="str">
        <f t="shared" si="98"/>
        <v>No</v>
      </c>
      <c r="P564" s="2" t="str" cm="1">
        <f t="array" aca="1" ref="P564" ca="1">IF(OR(INDIRECT("MRN_"&amp;A564)="N/A",B564=0),"No","Yes")</f>
        <v>No</v>
      </c>
    </row>
    <row r="565" spans="1:16" x14ac:dyDescent="0.2">
      <c r="A565" s="68">
        <v>16</v>
      </c>
      <c r="B565" s="349">
        <f>'Client 16'!S33</f>
        <v>0</v>
      </c>
      <c r="C565" s="2">
        <f>'Client 16'!T33</f>
        <v>0</v>
      </c>
      <c r="D565" s="2">
        <f>'Client 16'!U33</f>
        <v>0</v>
      </c>
      <c r="E565" s="2">
        <f>'Client 16'!V33</f>
        <v>0</v>
      </c>
      <c r="F565" s="350">
        <f>'Client 16'!W33</f>
        <v>0</v>
      </c>
      <c r="G565" s="2">
        <f>'Client 16'!X33</f>
        <v>0</v>
      </c>
      <c r="H565" s="2">
        <f>'Client 16'!Y33</f>
        <v>0</v>
      </c>
      <c r="I565" s="2">
        <f>'Client 16'!Z33</f>
        <v>0</v>
      </c>
      <c r="J565" s="2">
        <f>'Client 16'!AA33</f>
        <v>0</v>
      </c>
      <c r="K565" s="2">
        <f>'Client 16'!AB33</f>
        <v>0</v>
      </c>
      <c r="L565" s="2" cm="1">
        <f t="array" aca="1" ref="L565" ca="1">IF(B565=0,0,INDIRECT("MRN_"&amp;A565))</f>
        <v>0</v>
      </c>
      <c r="M565" s="2">
        <f t="shared" si="96"/>
        <v>0</v>
      </c>
      <c r="N565" s="2" t="str">
        <f t="shared" si="97"/>
        <v>No</v>
      </c>
      <c r="O565" s="2" t="str">
        <f t="shared" si="98"/>
        <v>No</v>
      </c>
      <c r="P565" s="2" t="str" cm="1">
        <f t="array" aca="1" ref="P565" ca="1">IF(OR(INDIRECT("MRN_"&amp;A565)="N/A",B565=0),"No","Yes")</f>
        <v>No</v>
      </c>
    </row>
    <row r="566" spans="1:16" x14ac:dyDescent="0.2">
      <c r="A566" s="68">
        <v>16</v>
      </c>
      <c r="B566" s="349">
        <f>'Client 16'!S34</f>
        <v>0</v>
      </c>
      <c r="C566" s="2">
        <f>'Client 16'!T34</f>
        <v>0</v>
      </c>
      <c r="D566" s="2">
        <f>'Client 16'!U34</f>
        <v>0</v>
      </c>
      <c r="E566" s="2">
        <f>'Client 16'!V34</f>
        <v>0</v>
      </c>
      <c r="F566" s="350">
        <f>'Client 16'!W34</f>
        <v>0</v>
      </c>
      <c r="G566" s="2">
        <f>'Client 16'!X34</f>
        <v>0</v>
      </c>
      <c r="H566" s="2">
        <f>'Client 16'!Y34</f>
        <v>0</v>
      </c>
      <c r="I566" s="2">
        <f>'Client 16'!Z34</f>
        <v>0</v>
      </c>
      <c r="J566" s="2">
        <f>'Client 16'!AA34</f>
        <v>0</v>
      </c>
      <c r="K566" s="2">
        <f>'Client 16'!AB34</f>
        <v>0</v>
      </c>
      <c r="L566" s="2" cm="1">
        <f t="array" aca="1" ref="L566" ca="1">IF(B566=0,0,INDIRECT("MRN_"&amp;A566))</f>
        <v>0</v>
      </c>
      <c r="M566" s="2">
        <f t="shared" si="96"/>
        <v>0</v>
      </c>
      <c r="N566" s="2" t="str">
        <f t="shared" si="97"/>
        <v>No</v>
      </c>
      <c r="O566" s="2" t="str">
        <f t="shared" si="98"/>
        <v>No</v>
      </c>
      <c r="P566" s="2" t="str" cm="1">
        <f t="array" aca="1" ref="P566" ca="1">IF(OR(INDIRECT("MRN_"&amp;A566)="N/A",B566=0),"No","Yes")</f>
        <v>No</v>
      </c>
    </row>
    <row r="567" spans="1:16" x14ac:dyDescent="0.2">
      <c r="A567" s="68">
        <v>16</v>
      </c>
      <c r="B567" s="349">
        <f>'Client 16'!S35</f>
        <v>0</v>
      </c>
      <c r="C567" s="2">
        <f>'Client 16'!T35</f>
        <v>0</v>
      </c>
      <c r="D567" s="2">
        <f>'Client 16'!U35</f>
        <v>0</v>
      </c>
      <c r="E567" s="2">
        <f>'Client 16'!V35</f>
        <v>0</v>
      </c>
      <c r="F567" s="350">
        <f>'Client 16'!W35</f>
        <v>0</v>
      </c>
      <c r="G567" s="2">
        <f>'Client 16'!X35</f>
        <v>0</v>
      </c>
      <c r="H567" s="2">
        <f>'Client 16'!Y35</f>
        <v>0</v>
      </c>
      <c r="I567" s="2">
        <f>'Client 16'!Z35</f>
        <v>0</v>
      </c>
      <c r="J567" s="2">
        <f>'Client 16'!AA35</f>
        <v>0</v>
      </c>
      <c r="K567" s="2">
        <f>'Client 16'!AB35</f>
        <v>0</v>
      </c>
      <c r="L567" s="2" cm="1">
        <f t="array" aca="1" ref="L567" ca="1">IF(B567=0,0,INDIRECT("MRN_"&amp;A567))</f>
        <v>0</v>
      </c>
      <c r="M567" s="2">
        <f t="shared" si="96"/>
        <v>0</v>
      </c>
      <c r="N567" s="2" t="str">
        <f t="shared" si="97"/>
        <v>No</v>
      </c>
      <c r="O567" s="2" t="str">
        <f t="shared" si="98"/>
        <v>No</v>
      </c>
      <c r="P567" s="2" t="str" cm="1">
        <f t="array" aca="1" ref="P567" ca="1">IF(OR(INDIRECT("MRN_"&amp;A567)="N/A",B567=0),"No","Yes")</f>
        <v>No</v>
      </c>
    </row>
    <row r="568" spans="1:16" x14ac:dyDescent="0.2">
      <c r="A568" s="68">
        <v>16</v>
      </c>
      <c r="B568" s="349">
        <f>'Client 16'!S36</f>
        <v>0</v>
      </c>
      <c r="C568" s="2">
        <f>'Client 16'!T36</f>
        <v>0</v>
      </c>
      <c r="D568" s="2">
        <f>'Client 16'!U36</f>
        <v>0</v>
      </c>
      <c r="E568" s="2">
        <f>'Client 16'!V36</f>
        <v>0</v>
      </c>
      <c r="F568" s="350">
        <f>'Client 16'!W36</f>
        <v>0</v>
      </c>
      <c r="G568" s="2">
        <f>'Client 16'!X36</f>
        <v>0</v>
      </c>
      <c r="H568" s="2">
        <f>'Client 16'!Y36</f>
        <v>0</v>
      </c>
      <c r="I568" s="2">
        <f>'Client 16'!Z36</f>
        <v>0</v>
      </c>
      <c r="J568" s="2">
        <f>'Client 16'!AA36</f>
        <v>0</v>
      </c>
      <c r="K568" s="2">
        <f>'Client 16'!AB36</f>
        <v>0</v>
      </c>
      <c r="L568" s="2" cm="1">
        <f t="array" aca="1" ref="L568" ca="1">IF(B568=0,0,INDIRECT("MRN_"&amp;A568))</f>
        <v>0</v>
      </c>
      <c r="M568" s="2">
        <f t="shared" si="96"/>
        <v>0</v>
      </c>
      <c r="N568" s="2" t="str">
        <f t="shared" si="97"/>
        <v>No</v>
      </c>
      <c r="O568" s="2" t="str">
        <f t="shared" si="98"/>
        <v>No</v>
      </c>
      <c r="P568" s="2" t="str" cm="1">
        <f t="array" aca="1" ref="P568" ca="1">IF(OR(INDIRECT("MRN_"&amp;A568)="N/A",B568=0),"No","Yes")</f>
        <v>No</v>
      </c>
    </row>
    <row r="569" spans="1:16" x14ac:dyDescent="0.2">
      <c r="A569" s="68">
        <v>16</v>
      </c>
      <c r="B569" s="349">
        <f>'Client 16'!S37</f>
        <v>0</v>
      </c>
      <c r="C569" s="2">
        <f>'Client 16'!T37</f>
        <v>0</v>
      </c>
      <c r="D569" s="2">
        <f>'Client 16'!U37</f>
        <v>0</v>
      </c>
      <c r="E569" s="2">
        <f>'Client 16'!V37</f>
        <v>0</v>
      </c>
      <c r="F569" s="350">
        <f>'Client 16'!W37</f>
        <v>0</v>
      </c>
      <c r="G569" s="2">
        <f>'Client 16'!X37</f>
        <v>0</v>
      </c>
      <c r="H569" s="2">
        <f>'Client 16'!Y37</f>
        <v>0</v>
      </c>
      <c r="I569" s="2">
        <f>'Client 16'!Z37</f>
        <v>0</v>
      </c>
      <c r="J569" s="2">
        <f>'Client 16'!AA37</f>
        <v>0</v>
      </c>
      <c r="K569" s="2">
        <f>'Client 16'!AB37</f>
        <v>0</v>
      </c>
      <c r="L569" s="2" cm="1">
        <f t="array" aca="1" ref="L569" ca="1">IF(B569=0,0,INDIRECT("MRN_"&amp;A569))</f>
        <v>0</v>
      </c>
      <c r="M569" s="2">
        <f t="shared" si="96"/>
        <v>0</v>
      </c>
      <c r="N569" s="2" t="str">
        <f t="shared" si="97"/>
        <v>No</v>
      </c>
      <c r="O569" s="2" t="str">
        <f t="shared" si="98"/>
        <v>No</v>
      </c>
      <c r="P569" s="2" t="str" cm="1">
        <f t="array" aca="1" ref="P569" ca="1">IF(OR(INDIRECT("MRN_"&amp;A569)="N/A",B569=0),"No","Yes")</f>
        <v>No</v>
      </c>
    </row>
    <row r="570" spans="1:16" x14ac:dyDescent="0.2">
      <c r="A570" s="68">
        <v>16</v>
      </c>
      <c r="B570" s="349">
        <f>'Client 16'!S38</f>
        <v>0</v>
      </c>
      <c r="C570" s="2">
        <f>'Client 16'!T38</f>
        <v>0</v>
      </c>
      <c r="D570" s="2">
        <f>'Client 16'!U38</f>
        <v>0</v>
      </c>
      <c r="E570" s="2">
        <f>'Client 16'!V38</f>
        <v>0</v>
      </c>
      <c r="F570" s="350">
        <f>'Client 16'!W38</f>
        <v>0</v>
      </c>
      <c r="G570" s="2">
        <f>'Client 16'!X38</f>
        <v>0</v>
      </c>
      <c r="H570" s="2">
        <f>'Client 16'!Y38</f>
        <v>0</v>
      </c>
      <c r="I570" s="2">
        <f>'Client 16'!Z38</f>
        <v>0</v>
      </c>
      <c r="J570" s="2">
        <f>'Client 16'!AA38</f>
        <v>0</v>
      </c>
      <c r="K570" s="2">
        <f>'Client 16'!AB38</f>
        <v>0</v>
      </c>
      <c r="L570" s="2" cm="1">
        <f t="array" aca="1" ref="L570" ca="1">IF(B570=0,0,INDIRECT("MRN_"&amp;A570))</f>
        <v>0</v>
      </c>
      <c r="M570" s="2">
        <f t="shared" si="96"/>
        <v>0</v>
      </c>
      <c r="N570" s="2" t="str">
        <f t="shared" si="97"/>
        <v>No</v>
      </c>
      <c r="O570" s="2" t="str">
        <f t="shared" si="98"/>
        <v>No</v>
      </c>
      <c r="P570" s="2" t="str" cm="1">
        <f t="array" aca="1" ref="P570" ca="1">IF(OR(INDIRECT("MRN_"&amp;A570)="N/A",B570=0),"No","Yes")</f>
        <v>No</v>
      </c>
    </row>
    <row r="571" spans="1:16" x14ac:dyDescent="0.2">
      <c r="A571" s="68">
        <v>17</v>
      </c>
      <c r="B571" s="349">
        <f>'Client 17'!S9</f>
        <v>0</v>
      </c>
      <c r="C571" s="2">
        <f>'Client 17'!T9</f>
        <v>0</v>
      </c>
      <c r="D571" s="2">
        <f>'Client 17'!U9</f>
        <v>0</v>
      </c>
      <c r="E571" s="2">
        <f>'Client 17'!V9</f>
        <v>0</v>
      </c>
      <c r="F571" s="350">
        <f>'Client 17'!W9</f>
        <v>0</v>
      </c>
      <c r="G571" s="2">
        <f>'Client 17'!X9</f>
        <v>0</v>
      </c>
      <c r="H571" s="2">
        <f>'Client 17'!Y9</f>
        <v>0</v>
      </c>
      <c r="I571" s="2">
        <f>'Client 17'!Z9</f>
        <v>0</v>
      </c>
      <c r="J571" s="2">
        <f>'Client 17'!AA9</f>
        <v>0</v>
      </c>
      <c r="K571" s="2">
        <f>'Client 17'!AB9</f>
        <v>0</v>
      </c>
      <c r="L571" s="2" cm="1">
        <f t="array" aca="1" ref="L571" ca="1">IF(B571=0,0,INDIRECT("MRN_"&amp;A571))</f>
        <v>0</v>
      </c>
      <c r="M571" s="2">
        <f t="shared" si="96"/>
        <v>0</v>
      </c>
      <c r="N571" s="2" t="str">
        <f t="shared" si="97"/>
        <v>No</v>
      </c>
      <c r="O571" s="2" t="str">
        <f t="shared" si="98"/>
        <v>No</v>
      </c>
      <c r="P571" s="2" t="str" cm="1">
        <f t="array" aca="1" ref="P571" ca="1">IF(OR(INDIRECT("MRN_"&amp;A571)="N/A",B571=0),"No","Yes")</f>
        <v>No</v>
      </c>
    </row>
    <row r="572" spans="1:16" x14ac:dyDescent="0.2">
      <c r="A572" s="68">
        <v>17</v>
      </c>
      <c r="B572" s="349">
        <f>'Client 17'!S10</f>
        <v>0</v>
      </c>
      <c r="C572" s="2">
        <f>'Client 17'!T10</f>
        <v>0</v>
      </c>
      <c r="D572" s="2">
        <f>'Client 17'!U10</f>
        <v>0</v>
      </c>
      <c r="E572" s="2">
        <f>'Client 17'!V10</f>
        <v>0</v>
      </c>
      <c r="F572" s="350">
        <f>'Client 17'!W10</f>
        <v>0</v>
      </c>
      <c r="G572" s="2">
        <f>'Client 17'!X10</f>
        <v>0</v>
      </c>
      <c r="H572" s="2">
        <f>'Client 17'!Y10</f>
        <v>0</v>
      </c>
      <c r="I572" s="2">
        <f>'Client 17'!Z10</f>
        <v>0</v>
      </c>
      <c r="J572" s="2">
        <f>'Client 17'!AA10</f>
        <v>0</v>
      </c>
      <c r="K572" s="2">
        <f>'Client 17'!AB10</f>
        <v>0</v>
      </c>
      <c r="L572" s="2" cm="1">
        <f t="array" aca="1" ref="L572" ca="1">IF(B572=0,0,INDIRECT("MRN_"&amp;A572))</f>
        <v>0</v>
      </c>
      <c r="M572" s="2">
        <f t="shared" si="96"/>
        <v>0</v>
      </c>
      <c r="N572" s="2" t="str">
        <f t="shared" si="97"/>
        <v>No</v>
      </c>
      <c r="O572" s="2" t="str">
        <f t="shared" si="98"/>
        <v>No</v>
      </c>
      <c r="P572" s="2" t="str" cm="1">
        <f t="array" aca="1" ref="P572" ca="1">IF(OR(INDIRECT("MRN_"&amp;A572)="N/A",B572=0),"No","Yes")</f>
        <v>No</v>
      </c>
    </row>
    <row r="573" spans="1:16" x14ac:dyDescent="0.2">
      <c r="A573" s="68">
        <v>17</v>
      </c>
      <c r="B573" s="349">
        <f>'Client 17'!S11</f>
        <v>0</v>
      </c>
      <c r="C573" s="2">
        <f>'Client 17'!T11</f>
        <v>0</v>
      </c>
      <c r="D573" s="2">
        <f>'Client 17'!U11</f>
        <v>0</v>
      </c>
      <c r="E573" s="2">
        <f>'Client 17'!V11</f>
        <v>0</v>
      </c>
      <c r="F573" s="350">
        <f>'Client 17'!W11</f>
        <v>0</v>
      </c>
      <c r="G573" s="2">
        <f>'Client 17'!X11</f>
        <v>0</v>
      </c>
      <c r="H573" s="2">
        <f>'Client 17'!Y11</f>
        <v>0</v>
      </c>
      <c r="I573" s="2">
        <f>'Client 17'!Z11</f>
        <v>0</v>
      </c>
      <c r="J573" s="2">
        <f>'Client 17'!AA11</f>
        <v>0</v>
      </c>
      <c r="K573" s="2">
        <f>'Client 17'!AB11</f>
        <v>0</v>
      </c>
      <c r="L573" s="2" cm="1">
        <f t="array" aca="1" ref="L573" ca="1">IF(B573=0,0,INDIRECT("MRN_"&amp;A573))</f>
        <v>0</v>
      </c>
      <c r="M573" s="2">
        <f t="shared" si="96"/>
        <v>0</v>
      </c>
      <c r="N573" s="2" t="str">
        <f t="shared" si="97"/>
        <v>No</v>
      </c>
      <c r="O573" s="2" t="str">
        <f t="shared" si="98"/>
        <v>No</v>
      </c>
      <c r="P573" s="2" t="str" cm="1">
        <f t="array" aca="1" ref="P573" ca="1">IF(OR(INDIRECT("MRN_"&amp;A573)="N/A",B573=0),"No","Yes")</f>
        <v>No</v>
      </c>
    </row>
    <row r="574" spans="1:16" x14ac:dyDescent="0.2">
      <c r="A574" s="68">
        <v>17</v>
      </c>
      <c r="B574" s="349">
        <f>'Client 17'!S12</f>
        <v>0</v>
      </c>
      <c r="C574" s="2">
        <f>'Client 17'!T12</f>
        <v>0</v>
      </c>
      <c r="D574" s="2">
        <f>'Client 17'!U12</f>
        <v>0</v>
      </c>
      <c r="E574" s="2">
        <f>'Client 17'!V12</f>
        <v>0</v>
      </c>
      <c r="F574" s="350">
        <f>'Client 17'!W12</f>
        <v>0</v>
      </c>
      <c r="G574" s="2">
        <f>'Client 17'!X12</f>
        <v>0</v>
      </c>
      <c r="H574" s="2">
        <f>'Client 17'!Y12</f>
        <v>0</v>
      </c>
      <c r="I574" s="2">
        <f>'Client 17'!Z12</f>
        <v>0</v>
      </c>
      <c r="J574" s="2">
        <f>'Client 17'!AA12</f>
        <v>0</v>
      </c>
      <c r="K574" s="2">
        <f>'Client 17'!AB12</f>
        <v>0</v>
      </c>
      <c r="L574" s="2" cm="1">
        <f t="array" aca="1" ref="L574" ca="1">IF(B574=0,0,INDIRECT("MRN_"&amp;A574))</f>
        <v>0</v>
      </c>
      <c r="M574" s="2">
        <f t="shared" si="96"/>
        <v>0</v>
      </c>
      <c r="N574" s="2" t="str">
        <f t="shared" si="97"/>
        <v>No</v>
      </c>
      <c r="O574" s="2" t="str">
        <f t="shared" si="98"/>
        <v>No</v>
      </c>
      <c r="P574" s="2" t="str" cm="1">
        <f t="array" aca="1" ref="P574" ca="1">IF(OR(INDIRECT("MRN_"&amp;A574)="N/A",B574=0),"No","Yes")</f>
        <v>No</v>
      </c>
    </row>
    <row r="575" spans="1:16" x14ac:dyDescent="0.2">
      <c r="A575" s="68">
        <v>17</v>
      </c>
      <c r="B575" s="349">
        <f>'Client 17'!S13</f>
        <v>0</v>
      </c>
      <c r="C575" s="2">
        <f>'Client 17'!T13</f>
        <v>0</v>
      </c>
      <c r="D575" s="2">
        <f>'Client 17'!U13</f>
        <v>0</v>
      </c>
      <c r="E575" s="2">
        <f>'Client 17'!V13</f>
        <v>0</v>
      </c>
      <c r="F575" s="350">
        <f>'Client 17'!W13</f>
        <v>0</v>
      </c>
      <c r="G575" s="2">
        <f>'Client 17'!X13</f>
        <v>0</v>
      </c>
      <c r="H575" s="2">
        <f>'Client 17'!Y13</f>
        <v>0</v>
      </c>
      <c r="I575" s="2">
        <f>'Client 17'!Z13</f>
        <v>0</v>
      </c>
      <c r="J575" s="2">
        <f>'Client 17'!AA13</f>
        <v>0</v>
      </c>
      <c r="K575" s="2">
        <f>'Client 17'!AB13</f>
        <v>0</v>
      </c>
      <c r="L575" s="2" cm="1">
        <f t="array" aca="1" ref="L575" ca="1">IF(B575=0,0,INDIRECT("MRN_"&amp;A575))</f>
        <v>0</v>
      </c>
      <c r="M575" s="2">
        <f t="shared" si="96"/>
        <v>0</v>
      </c>
      <c r="N575" s="2" t="str">
        <f t="shared" si="97"/>
        <v>No</v>
      </c>
      <c r="O575" s="2" t="str">
        <f t="shared" si="98"/>
        <v>No</v>
      </c>
      <c r="P575" s="2" t="str" cm="1">
        <f t="array" aca="1" ref="P575" ca="1">IF(OR(INDIRECT("MRN_"&amp;A575)="N/A",B575=0),"No","Yes")</f>
        <v>No</v>
      </c>
    </row>
    <row r="576" spans="1:16" x14ac:dyDescent="0.2">
      <c r="A576" s="68">
        <v>17</v>
      </c>
      <c r="B576" s="349">
        <f>'Client 17'!S14</f>
        <v>0</v>
      </c>
      <c r="C576" s="2">
        <f>'Client 17'!T14</f>
        <v>0</v>
      </c>
      <c r="D576" s="2">
        <f>'Client 17'!U14</f>
        <v>0</v>
      </c>
      <c r="E576" s="2">
        <f>'Client 17'!V14</f>
        <v>0</v>
      </c>
      <c r="F576" s="350">
        <f>'Client 17'!W14</f>
        <v>0</v>
      </c>
      <c r="G576" s="2">
        <f>'Client 17'!X14</f>
        <v>0</v>
      </c>
      <c r="H576" s="2">
        <f>'Client 17'!Y14</f>
        <v>0</v>
      </c>
      <c r="I576" s="2">
        <f>'Client 17'!Z14</f>
        <v>0</v>
      </c>
      <c r="J576" s="2">
        <f>'Client 17'!AA14</f>
        <v>0</v>
      </c>
      <c r="K576" s="2">
        <f>'Client 17'!AB14</f>
        <v>0</v>
      </c>
      <c r="L576" s="2" cm="1">
        <f t="array" aca="1" ref="L576" ca="1">IF(B576=0,0,INDIRECT("MRN_"&amp;A576))</f>
        <v>0</v>
      </c>
      <c r="M576" s="2">
        <f t="shared" si="96"/>
        <v>0</v>
      </c>
      <c r="N576" s="2" t="str">
        <f t="shared" si="97"/>
        <v>No</v>
      </c>
      <c r="O576" s="2" t="str">
        <f t="shared" si="98"/>
        <v>No</v>
      </c>
      <c r="P576" s="2" t="str" cm="1">
        <f t="array" aca="1" ref="P576" ca="1">IF(OR(INDIRECT("MRN_"&amp;A576)="N/A",B576=0),"No","Yes")</f>
        <v>No</v>
      </c>
    </row>
    <row r="577" spans="1:16" x14ac:dyDescent="0.2">
      <c r="A577" s="68">
        <v>17</v>
      </c>
      <c r="B577" s="349">
        <f>'Client 17'!S15</f>
        <v>0</v>
      </c>
      <c r="C577" s="2">
        <f>'Client 17'!T15</f>
        <v>0</v>
      </c>
      <c r="D577" s="2">
        <f>'Client 17'!U15</f>
        <v>0</v>
      </c>
      <c r="E577" s="2">
        <f>'Client 17'!V15</f>
        <v>0</v>
      </c>
      <c r="F577" s="350">
        <f>'Client 17'!W15</f>
        <v>0</v>
      </c>
      <c r="G577" s="2">
        <f>'Client 17'!X15</f>
        <v>0</v>
      </c>
      <c r="H577" s="2">
        <f>'Client 17'!Y15</f>
        <v>0</v>
      </c>
      <c r="I577" s="2">
        <f>'Client 17'!Z15</f>
        <v>0</v>
      </c>
      <c r="J577" s="2">
        <f>'Client 17'!AA15</f>
        <v>0</v>
      </c>
      <c r="K577" s="2">
        <f>'Client 17'!AB15</f>
        <v>0</v>
      </c>
      <c r="L577" s="2" cm="1">
        <f t="array" aca="1" ref="L577" ca="1">IF(B577=0,0,INDIRECT("MRN_"&amp;A577))</f>
        <v>0</v>
      </c>
      <c r="M577" s="2">
        <f t="shared" si="96"/>
        <v>0</v>
      </c>
      <c r="N577" s="2" t="str">
        <f t="shared" si="97"/>
        <v>No</v>
      </c>
      <c r="O577" s="2" t="str">
        <f t="shared" si="98"/>
        <v>No</v>
      </c>
      <c r="P577" s="2" t="str" cm="1">
        <f t="array" aca="1" ref="P577" ca="1">IF(OR(INDIRECT("MRN_"&amp;A577)="N/A",B577=0),"No","Yes")</f>
        <v>No</v>
      </c>
    </row>
    <row r="578" spans="1:16" x14ac:dyDescent="0.2">
      <c r="A578" s="68">
        <v>17</v>
      </c>
      <c r="B578" s="349">
        <f>'Client 17'!S16</f>
        <v>0</v>
      </c>
      <c r="C578" s="2">
        <f>'Client 17'!T16</f>
        <v>0</v>
      </c>
      <c r="D578" s="2">
        <f>'Client 17'!U16</f>
        <v>0</v>
      </c>
      <c r="E578" s="2">
        <f>'Client 17'!V16</f>
        <v>0</v>
      </c>
      <c r="F578" s="350">
        <f>'Client 17'!W16</f>
        <v>0</v>
      </c>
      <c r="G578" s="2">
        <f>'Client 17'!X16</f>
        <v>0</v>
      </c>
      <c r="H578" s="2">
        <f>'Client 17'!Y16</f>
        <v>0</v>
      </c>
      <c r="I578" s="2">
        <f>'Client 17'!Z16</f>
        <v>0</v>
      </c>
      <c r="J578" s="2">
        <f>'Client 17'!AA16</f>
        <v>0</v>
      </c>
      <c r="K578" s="2">
        <f>'Client 17'!AB16</f>
        <v>0</v>
      </c>
      <c r="L578" s="2" cm="1">
        <f t="array" aca="1" ref="L578" ca="1">IF(B578=0,0,INDIRECT("MRN_"&amp;A578))</f>
        <v>0</v>
      </c>
      <c r="M578" s="2">
        <f t="shared" si="96"/>
        <v>0</v>
      </c>
      <c r="N578" s="2" t="str">
        <f t="shared" si="97"/>
        <v>No</v>
      </c>
      <c r="O578" s="2" t="str">
        <f t="shared" si="98"/>
        <v>No</v>
      </c>
      <c r="P578" s="2" t="str" cm="1">
        <f t="array" aca="1" ref="P578" ca="1">IF(OR(INDIRECT("MRN_"&amp;A578)="N/A",B578=0),"No","Yes")</f>
        <v>No</v>
      </c>
    </row>
    <row r="579" spans="1:16" x14ac:dyDescent="0.2">
      <c r="A579" s="68">
        <v>17</v>
      </c>
      <c r="B579" s="349">
        <f>'Client 17'!S17</f>
        <v>0</v>
      </c>
      <c r="C579" s="2">
        <f>'Client 17'!T17</f>
        <v>0</v>
      </c>
      <c r="D579" s="2">
        <f>'Client 17'!U17</f>
        <v>0</v>
      </c>
      <c r="E579" s="2">
        <f>'Client 17'!V17</f>
        <v>0</v>
      </c>
      <c r="F579" s="350">
        <f>'Client 17'!W17</f>
        <v>0</v>
      </c>
      <c r="G579" s="2">
        <f>'Client 17'!X17</f>
        <v>0</v>
      </c>
      <c r="H579" s="2">
        <f>'Client 17'!Y17</f>
        <v>0</v>
      </c>
      <c r="I579" s="2">
        <f>'Client 17'!Z17</f>
        <v>0</v>
      </c>
      <c r="J579" s="2">
        <f>'Client 17'!AA17</f>
        <v>0</v>
      </c>
      <c r="K579" s="2">
        <f>'Client 17'!AB17</f>
        <v>0</v>
      </c>
      <c r="L579" s="2" cm="1">
        <f t="array" aca="1" ref="L579" ca="1">IF(B579=0,0,INDIRECT("MRN_"&amp;A579))</f>
        <v>0</v>
      </c>
      <c r="M579" s="2">
        <f t="shared" si="96"/>
        <v>0</v>
      </c>
      <c r="N579" s="2" t="str">
        <f t="shared" si="97"/>
        <v>No</v>
      </c>
      <c r="O579" s="2" t="str">
        <f t="shared" si="98"/>
        <v>No</v>
      </c>
      <c r="P579" s="2" t="str" cm="1">
        <f t="array" aca="1" ref="P579" ca="1">IF(OR(INDIRECT("MRN_"&amp;A579)="N/A",B579=0),"No","Yes")</f>
        <v>No</v>
      </c>
    </row>
    <row r="580" spans="1:16" x14ac:dyDescent="0.2">
      <c r="A580" s="68">
        <v>17</v>
      </c>
      <c r="B580" s="349">
        <f>'Client 17'!S18</f>
        <v>0</v>
      </c>
      <c r="C580" s="2">
        <f>'Client 17'!T18</f>
        <v>0</v>
      </c>
      <c r="D580" s="2">
        <f>'Client 17'!U18</f>
        <v>0</v>
      </c>
      <c r="E580" s="2">
        <f>'Client 17'!V18</f>
        <v>0</v>
      </c>
      <c r="F580" s="350">
        <f>'Client 17'!W18</f>
        <v>0</v>
      </c>
      <c r="G580" s="2">
        <f>'Client 17'!X18</f>
        <v>0</v>
      </c>
      <c r="H580" s="2">
        <f>'Client 17'!Y18</f>
        <v>0</v>
      </c>
      <c r="I580" s="2">
        <f>'Client 17'!Z18</f>
        <v>0</v>
      </c>
      <c r="J580" s="2">
        <f>'Client 17'!AA18</f>
        <v>0</v>
      </c>
      <c r="K580" s="2">
        <f>'Client 17'!AB18</f>
        <v>0</v>
      </c>
      <c r="L580" s="2" cm="1">
        <f t="array" aca="1" ref="L580" ca="1">IF(B580=0,0,INDIRECT("MRN_"&amp;A580))</f>
        <v>0</v>
      </c>
      <c r="M580" s="2">
        <f t="shared" si="96"/>
        <v>0</v>
      </c>
      <c r="N580" s="2" t="str">
        <f t="shared" si="97"/>
        <v>No</v>
      </c>
      <c r="O580" s="2" t="str">
        <f t="shared" si="98"/>
        <v>No</v>
      </c>
      <c r="P580" s="2" t="str" cm="1">
        <f t="array" aca="1" ref="P580" ca="1">IF(OR(INDIRECT("MRN_"&amp;A580)="N/A",B580=0),"No","Yes")</f>
        <v>No</v>
      </c>
    </row>
    <row r="581" spans="1:16" x14ac:dyDescent="0.2">
      <c r="A581" s="68">
        <v>17</v>
      </c>
      <c r="B581" s="349">
        <f>'Client 17'!S19</f>
        <v>0</v>
      </c>
      <c r="C581" s="2">
        <f>'Client 17'!T19</f>
        <v>0</v>
      </c>
      <c r="D581" s="2">
        <f>'Client 17'!U19</f>
        <v>0</v>
      </c>
      <c r="E581" s="2">
        <f>'Client 17'!V19</f>
        <v>0</v>
      </c>
      <c r="F581" s="350">
        <f>'Client 17'!W19</f>
        <v>0</v>
      </c>
      <c r="G581" s="2">
        <f>'Client 17'!X19</f>
        <v>0</v>
      </c>
      <c r="H581" s="2">
        <f>'Client 17'!Y19</f>
        <v>0</v>
      </c>
      <c r="I581" s="2">
        <f>'Client 17'!Z19</f>
        <v>0</v>
      </c>
      <c r="J581" s="2">
        <f>'Client 17'!AA19</f>
        <v>0</v>
      </c>
      <c r="K581" s="2">
        <f>'Client 17'!AB19</f>
        <v>0</v>
      </c>
      <c r="L581" s="2" cm="1">
        <f t="array" aca="1" ref="L581" ca="1">IF(B581=0,0,INDIRECT("MRN_"&amp;A581))</f>
        <v>0</v>
      </c>
      <c r="M581" s="2">
        <f t="shared" si="96"/>
        <v>0</v>
      </c>
      <c r="N581" s="2" t="str">
        <f t="shared" si="97"/>
        <v>No</v>
      </c>
      <c r="O581" s="2" t="str">
        <f t="shared" si="98"/>
        <v>No</v>
      </c>
      <c r="P581" s="2" t="str" cm="1">
        <f t="array" aca="1" ref="P581" ca="1">IF(OR(INDIRECT("MRN_"&amp;A581)="N/A",B581=0),"No","Yes")</f>
        <v>No</v>
      </c>
    </row>
    <row r="582" spans="1:16" x14ac:dyDescent="0.2">
      <c r="A582" s="68">
        <v>17</v>
      </c>
      <c r="B582" s="349">
        <f>'Client 17'!S20</f>
        <v>0</v>
      </c>
      <c r="C582" s="2">
        <f>'Client 17'!T20</f>
        <v>0</v>
      </c>
      <c r="D582" s="2">
        <f>'Client 17'!U20</f>
        <v>0</v>
      </c>
      <c r="E582" s="2">
        <f>'Client 17'!V20</f>
        <v>0</v>
      </c>
      <c r="F582" s="350">
        <f>'Client 17'!W20</f>
        <v>0</v>
      </c>
      <c r="G582" s="2">
        <f>'Client 17'!X20</f>
        <v>0</v>
      </c>
      <c r="H582" s="2">
        <f>'Client 17'!Y20</f>
        <v>0</v>
      </c>
      <c r="I582" s="2">
        <f>'Client 17'!Z20</f>
        <v>0</v>
      </c>
      <c r="J582" s="2">
        <f>'Client 17'!AA20</f>
        <v>0</v>
      </c>
      <c r="K582" s="2">
        <f>'Client 17'!AB20</f>
        <v>0</v>
      </c>
      <c r="L582" s="2" cm="1">
        <f t="array" aca="1" ref="L582" ca="1">IF(B582=0,0,INDIRECT("MRN_"&amp;A582))</f>
        <v>0</v>
      </c>
      <c r="M582" s="2">
        <f t="shared" si="96"/>
        <v>0</v>
      </c>
      <c r="N582" s="2" t="str">
        <f t="shared" si="97"/>
        <v>No</v>
      </c>
      <c r="O582" s="2" t="str">
        <f t="shared" si="98"/>
        <v>No</v>
      </c>
      <c r="P582" s="2" t="str" cm="1">
        <f t="array" aca="1" ref="P582" ca="1">IF(OR(INDIRECT("MRN_"&amp;A582)="N/A",B582=0),"No","Yes")</f>
        <v>No</v>
      </c>
    </row>
    <row r="583" spans="1:16" x14ac:dyDescent="0.2">
      <c r="A583" s="68">
        <v>17</v>
      </c>
      <c r="B583" s="349">
        <f>'Client 17'!S21</f>
        <v>0</v>
      </c>
      <c r="C583" s="2">
        <f>'Client 17'!T21</f>
        <v>0</v>
      </c>
      <c r="D583" s="2">
        <f>'Client 17'!U21</f>
        <v>0</v>
      </c>
      <c r="E583" s="2">
        <f>'Client 17'!V21</f>
        <v>0</v>
      </c>
      <c r="F583" s="350">
        <f>'Client 17'!W21</f>
        <v>0</v>
      </c>
      <c r="G583" s="2">
        <f>'Client 17'!X21</f>
        <v>0</v>
      </c>
      <c r="H583" s="2">
        <f>'Client 17'!Y21</f>
        <v>0</v>
      </c>
      <c r="I583" s="2">
        <f>'Client 17'!Z21</f>
        <v>0</v>
      </c>
      <c r="J583" s="2">
        <f>'Client 17'!AA21</f>
        <v>0</v>
      </c>
      <c r="K583" s="2">
        <f>'Client 17'!AB21</f>
        <v>0</v>
      </c>
      <c r="L583" s="2" cm="1">
        <f t="array" aca="1" ref="L583" ca="1">IF(B583=0,0,INDIRECT("MRN_"&amp;A583))</f>
        <v>0</v>
      </c>
      <c r="M583" s="2">
        <f t="shared" si="96"/>
        <v>0</v>
      </c>
      <c r="N583" s="2" t="str">
        <f t="shared" si="97"/>
        <v>No</v>
      </c>
      <c r="O583" s="2" t="str">
        <f t="shared" si="98"/>
        <v>No</v>
      </c>
      <c r="P583" s="2" t="str" cm="1">
        <f t="array" aca="1" ref="P583" ca="1">IF(OR(INDIRECT("MRN_"&amp;A583)="N/A",B583=0),"No","Yes")</f>
        <v>No</v>
      </c>
    </row>
    <row r="584" spans="1:16" x14ac:dyDescent="0.2">
      <c r="A584" s="68">
        <v>17</v>
      </c>
      <c r="B584" s="349">
        <f>'Client 17'!S22</f>
        <v>0</v>
      </c>
      <c r="C584" s="2">
        <f>'Client 17'!T22</f>
        <v>0</v>
      </c>
      <c r="D584" s="2">
        <f>'Client 17'!U22</f>
        <v>0</v>
      </c>
      <c r="E584" s="2">
        <f>'Client 17'!V22</f>
        <v>0</v>
      </c>
      <c r="F584" s="350">
        <f>'Client 17'!W22</f>
        <v>0</v>
      </c>
      <c r="G584" s="2">
        <f>'Client 17'!X22</f>
        <v>0</v>
      </c>
      <c r="H584" s="2">
        <f>'Client 17'!Y22</f>
        <v>0</v>
      </c>
      <c r="I584" s="2">
        <f>'Client 17'!Z22</f>
        <v>0</v>
      </c>
      <c r="J584" s="2">
        <f>'Client 17'!AA22</f>
        <v>0</v>
      </c>
      <c r="K584" s="2">
        <f>'Client 17'!AB22</f>
        <v>0</v>
      </c>
      <c r="L584" s="2" cm="1">
        <f t="array" aca="1" ref="L584" ca="1">IF(B584=0,0,INDIRECT("MRN_"&amp;A584))</f>
        <v>0</v>
      </c>
      <c r="M584" s="2">
        <f t="shared" si="96"/>
        <v>0</v>
      </c>
      <c r="N584" s="2" t="str">
        <f t="shared" si="97"/>
        <v>No</v>
      </c>
      <c r="O584" s="2" t="str">
        <f t="shared" si="98"/>
        <v>No</v>
      </c>
      <c r="P584" s="2" t="str" cm="1">
        <f t="array" aca="1" ref="P584" ca="1">IF(OR(INDIRECT("MRN_"&amp;A584)="N/A",B584=0),"No","Yes")</f>
        <v>No</v>
      </c>
    </row>
    <row r="585" spans="1:16" x14ac:dyDescent="0.2">
      <c r="A585" s="68">
        <v>17</v>
      </c>
      <c r="B585" s="349">
        <f>'Client 17'!S23</f>
        <v>0</v>
      </c>
      <c r="C585" s="2">
        <f>'Client 17'!T23</f>
        <v>0</v>
      </c>
      <c r="D585" s="2">
        <f>'Client 17'!U23</f>
        <v>0</v>
      </c>
      <c r="E585" s="2">
        <f>'Client 17'!V23</f>
        <v>0</v>
      </c>
      <c r="F585" s="350">
        <f>'Client 17'!W23</f>
        <v>0</v>
      </c>
      <c r="G585" s="2">
        <f>'Client 17'!X23</f>
        <v>0</v>
      </c>
      <c r="H585" s="2">
        <f>'Client 17'!Y23</f>
        <v>0</v>
      </c>
      <c r="I585" s="2">
        <f>'Client 17'!Z23</f>
        <v>0</v>
      </c>
      <c r="J585" s="2">
        <f>'Client 17'!AA23</f>
        <v>0</v>
      </c>
      <c r="K585" s="2">
        <f>'Client 17'!AB23</f>
        <v>0</v>
      </c>
      <c r="L585" s="2" cm="1">
        <f t="array" aca="1" ref="L585" ca="1">IF(B585=0,0,INDIRECT("MRN_"&amp;A585))</f>
        <v>0</v>
      </c>
      <c r="M585" s="2">
        <f t="shared" si="96"/>
        <v>0</v>
      </c>
      <c r="N585" s="2" t="str">
        <f t="shared" si="97"/>
        <v>No</v>
      </c>
      <c r="O585" s="2" t="str">
        <f t="shared" si="98"/>
        <v>No</v>
      </c>
      <c r="P585" s="2" t="str" cm="1">
        <f t="array" aca="1" ref="P585" ca="1">IF(OR(INDIRECT("MRN_"&amp;A585)="N/A",B585=0),"No","Yes")</f>
        <v>No</v>
      </c>
    </row>
    <row r="586" spans="1:16" x14ac:dyDescent="0.2">
      <c r="A586" s="68">
        <v>17</v>
      </c>
      <c r="B586" s="349">
        <f>'Client 17'!S24</f>
        <v>0</v>
      </c>
      <c r="C586" s="2">
        <f>'Client 17'!T24</f>
        <v>0</v>
      </c>
      <c r="D586" s="2">
        <f>'Client 17'!U24</f>
        <v>0</v>
      </c>
      <c r="E586" s="2">
        <f>'Client 17'!V24</f>
        <v>0</v>
      </c>
      <c r="F586" s="350">
        <f>'Client 17'!W24</f>
        <v>0</v>
      </c>
      <c r="G586" s="2">
        <f>'Client 17'!X24</f>
        <v>0</v>
      </c>
      <c r="H586" s="2">
        <f>'Client 17'!Y24</f>
        <v>0</v>
      </c>
      <c r="I586" s="2">
        <f>'Client 17'!Z24</f>
        <v>0</v>
      </c>
      <c r="J586" s="2">
        <f>'Client 17'!AA24</f>
        <v>0</v>
      </c>
      <c r="K586" s="2">
        <f>'Client 17'!AB24</f>
        <v>0</v>
      </c>
      <c r="L586" s="2" cm="1">
        <f t="array" aca="1" ref="L586" ca="1">IF(B586=0,0,INDIRECT("MRN_"&amp;A586))</f>
        <v>0</v>
      </c>
      <c r="M586" s="2">
        <f t="shared" si="96"/>
        <v>0</v>
      </c>
      <c r="N586" s="2" t="str">
        <f t="shared" si="97"/>
        <v>No</v>
      </c>
      <c r="O586" s="2" t="str">
        <f t="shared" si="98"/>
        <v>No</v>
      </c>
      <c r="P586" s="2" t="str" cm="1">
        <f t="array" aca="1" ref="P586" ca="1">IF(OR(INDIRECT("MRN_"&amp;A586)="N/A",B586=0),"No","Yes")</f>
        <v>No</v>
      </c>
    </row>
    <row r="587" spans="1:16" x14ac:dyDescent="0.2">
      <c r="A587" s="68">
        <v>17</v>
      </c>
      <c r="B587" s="349">
        <f>'Client 17'!S25</f>
        <v>0</v>
      </c>
      <c r="C587" s="2">
        <f>'Client 17'!T25</f>
        <v>0</v>
      </c>
      <c r="D587" s="2">
        <f>'Client 17'!U25</f>
        <v>0</v>
      </c>
      <c r="E587" s="2">
        <f>'Client 17'!V25</f>
        <v>0</v>
      </c>
      <c r="F587" s="350">
        <f>'Client 17'!W25</f>
        <v>0</v>
      </c>
      <c r="G587" s="2">
        <f>'Client 17'!X25</f>
        <v>0</v>
      </c>
      <c r="H587" s="2">
        <f>'Client 17'!Y25</f>
        <v>0</v>
      </c>
      <c r="I587" s="2">
        <f>'Client 17'!Z25</f>
        <v>0</v>
      </c>
      <c r="J587" s="2">
        <f>'Client 17'!AA25</f>
        <v>0</v>
      </c>
      <c r="K587" s="2">
        <f>'Client 17'!AB25</f>
        <v>0</v>
      </c>
      <c r="L587" s="2" cm="1">
        <f t="array" aca="1" ref="L587" ca="1">IF(B587=0,0,INDIRECT("MRN_"&amp;A587))</f>
        <v>0</v>
      </c>
      <c r="M587" s="2">
        <f t="shared" si="96"/>
        <v>0</v>
      </c>
      <c r="N587" s="2" t="str">
        <f t="shared" si="97"/>
        <v>No</v>
      </c>
      <c r="O587" s="2" t="str">
        <f t="shared" si="98"/>
        <v>No</v>
      </c>
      <c r="P587" s="2" t="str" cm="1">
        <f t="array" aca="1" ref="P587" ca="1">IF(OR(INDIRECT("MRN_"&amp;A587)="N/A",B587=0),"No","Yes")</f>
        <v>No</v>
      </c>
    </row>
    <row r="588" spans="1:16" x14ac:dyDescent="0.2">
      <c r="A588" s="68">
        <v>17</v>
      </c>
      <c r="B588" s="349">
        <f>'Client 17'!S26</f>
        <v>0</v>
      </c>
      <c r="C588" s="2">
        <f>'Client 17'!T26</f>
        <v>0</v>
      </c>
      <c r="D588" s="2">
        <f>'Client 17'!U26</f>
        <v>0</v>
      </c>
      <c r="E588" s="2">
        <f>'Client 17'!V26</f>
        <v>0</v>
      </c>
      <c r="F588" s="350">
        <f>'Client 17'!W26</f>
        <v>0</v>
      </c>
      <c r="G588" s="2">
        <f>'Client 17'!X26</f>
        <v>0</v>
      </c>
      <c r="H588" s="2">
        <f>'Client 17'!Y26</f>
        <v>0</v>
      </c>
      <c r="I588" s="2">
        <f>'Client 17'!Z26</f>
        <v>0</v>
      </c>
      <c r="J588" s="2">
        <f>'Client 17'!AA26</f>
        <v>0</v>
      </c>
      <c r="K588" s="2">
        <f>'Client 17'!AB26</f>
        <v>0</v>
      </c>
      <c r="L588" s="2" cm="1">
        <f t="array" aca="1" ref="L588" ca="1">IF(B588=0,0,INDIRECT("MRN_"&amp;A588))</f>
        <v>0</v>
      </c>
      <c r="M588" s="2">
        <f t="shared" si="96"/>
        <v>0</v>
      </c>
      <c r="N588" s="2" t="str">
        <f t="shared" si="97"/>
        <v>No</v>
      </c>
      <c r="O588" s="2" t="str">
        <f t="shared" si="98"/>
        <v>No</v>
      </c>
      <c r="P588" s="2" t="str" cm="1">
        <f t="array" aca="1" ref="P588" ca="1">IF(OR(INDIRECT("MRN_"&amp;A588)="N/A",B588=0),"No","Yes")</f>
        <v>No</v>
      </c>
    </row>
    <row r="589" spans="1:16" x14ac:dyDescent="0.2">
      <c r="A589" s="68">
        <v>17</v>
      </c>
      <c r="B589" s="349">
        <f>'Client 17'!S27</f>
        <v>0</v>
      </c>
      <c r="C589" s="2">
        <f>'Client 17'!T27</f>
        <v>0</v>
      </c>
      <c r="D589" s="2">
        <f>'Client 17'!U27</f>
        <v>0</v>
      </c>
      <c r="E589" s="2">
        <f>'Client 17'!V27</f>
        <v>0</v>
      </c>
      <c r="F589" s="350">
        <f>'Client 17'!W27</f>
        <v>0</v>
      </c>
      <c r="G589" s="2">
        <f>'Client 17'!X27</f>
        <v>0</v>
      </c>
      <c r="H589" s="2">
        <f>'Client 17'!Y27</f>
        <v>0</v>
      </c>
      <c r="I589" s="2">
        <f>'Client 17'!Z27</f>
        <v>0</v>
      </c>
      <c r="J589" s="2">
        <f>'Client 17'!AA27</f>
        <v>0</v>
      </c>
      <c r="K589" s="2">
        <f>'Client 17'!AB27</f>
        <v>0</v>
      </c>
      <c r="L589" s="2" cm="1">
        <f t="array" aca="1" ref="L589" ca="1">IF(B589=0,0,INDIRECT("MRN_"&amp;A589))</f>
        <v>0</v>
      </c>
      <c r="M589" s="2">
        <f t="shared" si="96"/>
        <v>0</v>
      </c>
      <c r="N589" s="2" t="str">
        <f t="shared" si="97"/>
        <v>No</v>
      </c>
      <c r="O589" s="2" t="str">
        <f t="shared" si="98"/>
        <v>No</v>
      </c>
      <c r="P589" s="2" t="str" cm="1">
        <f t="array" aca="1" ref="P589" ca="1">IF(OR(INDIRECT("MRN_"&amp;A589)="N/A",B589=0),"No","Yes")</f>
        <v>No</v>
      </c>
    </row>
    <row r="590" spans="1:16" x14ac:dyDescent="0.2">
      <c r="A590" s="68">
        <v>17</v>
      </c>
      <c r="B590" s="349">
        <f>'Client 17'!S28</f>
        <v>0</v>
      </c>
      <c r="C590" s="2">
        <f>'Client 17'!T28</f>
        <v>0</v>
      </c>
      <c r="D590" s="2">
        <f>'Client 17'!U28</f>
        <v>0</v>
      </c>
      <c r="E590" s="2">
        <f>'Client 17'!V28</f>
        <v>0</v>
      </c>
      <c r="F590" s="350">
        <f>'Client 17'!W28</f>
        <v>0</v>
      </c>
      <c r="G590" s="2">
        <f>'Client 17'!X28</f>
        <v>0</v>
      </c>
      <c r="H590" s="2">
        <f>'Client 17'!Y28</f>
        <v>0</v>
      </c>
      <c r="I590" s="2">
        <f>'Client 17'!Z28</f>
        <v>0</v>
      </c>
      <c r="J590" s="2">
        <f>'Client 17'!AA28</f>
        <v>0</v>
      </c>
      <c r="K590" s="2">
        <f>'Client 17'!AB28</f>
        <v>0</v>
      </c>
      <c r="L590" s="2" cm="1">
        <f t="array" aca="1" ref="L590" ca="1">IF(B590=0,0,INDIRECT("MRN_"&amp;A590))</f>
        <v>0</v>
      </c>
      <c r="M590" s="2">
        <f t="shared" si="96"/>
        <v>0</v>
      </c>
      <c r="N590" s="2" t="str">
        <f t="shared" si="97"/>
        <v>No</v>
      </c>
      <c r="O590" s="2" t="str">
        <f t="shared" si="98"/>
        <v>No</v>
      </c>
      <c r="P590" s="2" t="str" cm="1">
        <f t="array" aca="1" ref="P590" ca="1">IF(OR(INDIRECT("MRN_"&amp;A590)="N/A",B590=0),"No","Yes")</f>
        <v>No</v>
      </c>
    </row>
    <row r="591" spans="1:16" x14ac:dyDescent="0.2">
      <c r="A591" s="68">
        <v>17</v>
      </c>
      <c r="B591" s="349">
        <f>'Client 17'!S29</f>
        <v>0</v>
      </c>
      <c r="C591" s="2">
        <f>'Client 17'!T29</f>
        <v>0</v>
      </c>
      <c r="D591" s="2">
        <f>'Client 17'!U29</f>
        <v>0</v>
      </c>
      <c r="E591" s="2">
        <f>'Client 17'!V29</f>
        <v>0</v>
      </c>
      <c r="F591" s="350">
        <f>'Client 17'!W29</f>
        <v>0</v>
      </c>
      <c r="G591" s="2">
        <f>'Client 17'!X29</f>
        <v>0</v>
      </c>
      <c r="H591" s="2">
        <f>'Client 17'!Y29</f>
        <v>0</v>
      </c>
      <c r="I591" s="2">
        <f>'Client 17'!Z29</f>
        <v>0</v>
      </c>
      <c r="J591" s="2">
        <f>'Client 17'!AA29</f>
        <v>0</v>
      </c>
      <c r="K591" s="2">
        <f>'Client 17'!AB29</f>
        <v>0</v>
      </c>
      <c r="L591" s="2" cm="1">
        <f t="array" aca="1" ref="L591" ca="1">IF(B591=0,0,INDIRECT("MRN_"&amp;A591))</f>
        <v>0</v>
      </c>
      <c r="M591" s="2">
        <f t="shared" si="96"/>
        <v>0</v>
      </c>
      <c r="N591" s="2" t="str">
        <f t="shared" si="97"/>
        <v>No</v>
      </c>
      <c r="O591" s="2" t="str">
        <f t="shared" si="98"/>
        <v>No</v>
      </c>
      <c r="P591" s="2" t="str" cm="1">
        <f t="array" aca="1" ref="P591" ca="1">IF(OR(INDIRECT("MRN_"&amp;A591)="N/A",B591=0),"No","Yes")</f>
        <v>No</v>
      </c>
    </row>
    <row r="592" spans="1:16" x14ac:dyDescent="0.2">
      <c r="A592" s="68">
        <v>17</v>
      </c>
      <c r="B592" s="349">
        <f>'Client 17'!S30</f>
        <v>0</v>
      </c>
      <c r="C592" s="2">
        <f>'Client 17'!T30</f>
        <v>0</v>
      </c>
      <c r="D592" s="2">
        <f>'Client 17'!U30</f>
        <v>0</v>
      </c>
      <c r="E592" s="2">
        <f>'Client 17'!V30</f>
        <v>0</v>
      </c>
      <c r="F592" s="350">
        <f>'Client 17'!W30</f>
        <v>0</v>
      </c>
      <c r="G592" s="2">
        <f>'Client 17'!X30</f>
        <v>0</v>
      </c>
      <c r="H592" s="2">
        <f>'Client 17'!Y30</f>
        <v>0</v>
      </c>
      <c r="I592" s="2">
        <f>'Client 17'!Z30</f>
        <v>0</v>
      </c>
      <c r="J592" s="2">
        <f>'Client 17'!AA30</f>
        <v>0</v>
      </c>
      <c r="K592" s="2">
        <f>'Client 17'!AB30</f>
        <v>0</v>
      </c>
      <c r="L592" s="2" cm="1">
        <f t="array" aca="1" ref="L592" ca="1">IF(B592=0,0,INDIRECT("MRN_"&amp;A592))</f>
        <v>0</v>
      </c>
      <c r="M592" s="2">
        <f t="shared" si="96"/>
        <v>0</v>
      </c>
      <c r="N592" s="2" t="str">
        <f t="shared" si="97"/>
        <v>No</v>
      </c>
      <c r="O592" s="2" t="str">
        <f t="shared" si="98"/>
        <v>No</v>
      </c>
      <c r="P592" s="2" t="str" cm="1">
        <f t="array" aca="1" ref="P592" ca="1">IF(OR(INDIRECT("MRN_"&amp;A592)="N/A",B592=0),"No","Yes")</f>
        <v>No</v>
      </c>
    </row>
    <row r="593" spans="1:16" x14ac:dyDescent="0.2">
      <c r="A593" s="68">
        <v>17</v>
      </c>
      <c r="B593" s="349">
        <f>'Client 17'!S31</f>
        <v>0</v>
      </c>
      <c r="C593" s="2">
        <f>'Client 17'!T31</f>
        <v>0</v>
      </c>
      <c r="D593" s="2">
        <f>'Client 17'!U31</f>
        <v>0</v>
      </c>
      <c r="E593" s="2">
        <f>'Client 17'!V31</f>
        <v>0</v>
      </c>
      <c r="F593" s="350">
        <f>'Client 17'!W31</f>
        <v>0</v>
      </c>
      <c r="G593" s="2">
        <f>'Client 17'!X31</f>
        <v>0</v>
      </c>
      <c r="H593" s="2">
        <f>'Client 17'!Y31</f>
        <v>0</v>
      </c>
      <c r="I593" s="2">
        <f>'Client 17'!Z31</f>
        <v>0</v>
      </c>
      <c r="J593" s="2">
        <f>'Client 17'!AA31</f>
        <v>0</v>
      </c>
      <c r="K593" s="2">
        <f>'Client 17'!AB31</f>
        <v>0</v>
      </c>
      <c r="L593" s="2" cm="1">
        <f t="array" aca="1" ref="L593" ca="1">IF(B593=0,0,INDIRECT("MRN_"&amp;A593))</f>
        <v>0</v>
      </c>
      <c r="M593" s="2">
        <f t="shared" si="96"/>
        <v>0</v>
      </c>
      <c r="N593" s="2" t="str">
        <f t="shared" si="97"/>
        <v>No</v>
      </c>
      <c r="O593" s="2" t="str">
        <f t="shared" si="98"/>
        <v>No</v>
      </c>
      <c r="P593" s="2" t="str" cm="1">
        <f t="array" aca="1" ref="P593" ca="1">IF(OR(INDIRECT("MRN_"&amp;A593)="N/A",B593=0),"No","Yes")</f>
        <v>No</v>
      </c>
    </row>
    <row r="594" spans="1:16" x14ac:dyDescent="0.2">
      <c r="A594" s="68">
        <v>17</v>
      </c>
      <c r="B594" s="349">
        <f>'Client 17'!S32</f>
        <v>0</v>
      </c>
      <c r="C594" s="2">
        <f>'Client 17'!T32</f>
        <v>0</v>
      </c>
      <c r="D594" s="2">
        <f>'Client 17'!U32</f>
        <v>0</v>
      </c>
      <c r="E594" s="2">
        <f>'Client 17'!V32</f>
        <v>0</v>
      </c>
      <c r="F594" s="350">
        <f>'Client 17'!W32</f>
        <v>0</v>
      </c>
      <c r="G594" s="2">
        <f>'Client 17'!X32</f>
        <v>0</v>
      </c>
      <c r="H594" s="2">
        <f>'Client 17'!Y32</f>
        <v>0</v>
      </c>
      <c r="I594" s="2">
        <f>'Client 17'!Z32</f>
        <v>0</v>
      </c>
      <c r="J594" s="2">
        <f>'Client 17'!AA32</f>
        <v>0</v>
      </c>
      <c r="K594" s="2">
        <f>'Client 17'!AB32</f>
        <v>0</v>
      </c>
      <c r="L594" s="2" cm="1">
        <f t="array" aca="1" ref="L594" ca="1">IF(B594=0,0,INDIRECT("MRN_"&amp;A594))</f>
        <v>0</v>
      </c>
      <c r="M594" s="2">
        <f t="shared" si="96"/>
        <v>0</v>
      </c>
      <c r="N594" s="2" t="str">
        <f t="shared" si="97"/>
        <v>No</v>
      </c>
      <c r="O594" s="2" t="str">
        <f t="shared" si="98"/>
        <v>No</v>
      </c>
      <c r="P594" s="2" t="str" cm="1">
        <f t="array" aca="1" ref="P594" ca="1">IF(OR(INDIRECT("MRN_"&amp;A594)="N/A",B594=0),"No","Yes")</f>
        <v>No</v>
      </c>
    </row>
    <row r="595" spans="1:16" x14ac:dyDescent="0.2">
      <c r="A595" s="68">
        <v>17</v>
      </c>
      <c r="B595" s="349">
        <f>'Client 17'!S33</f>
        <v>0</v>
      </c>
      <c r="C595" s="2">
        <f>'Client 17'!T33</f>
        <v>0</v>
      </c>
      <c r="D595" s="2">
        <f>'Client 17'!U33</f>
        <v>0</v>
      </c>
      <c r="E595" s="2">
        <f>'Client 17'!V33</f>
        <v>0</v>
      </c>
      <c r="F595" s="350">
        <f>'Client 17'!W33</f>
        <v>0</v>
      </c>
      <c r="G595" s="2">
        <f>'Client 17'!X33</f>
        <v>0</v>
      </c>
      <c r="H595" s="2">
        <f>'Client 17'!Y33</f>
        <v>0</v>
      </c>
      <c r="I595" s="2">
        <f>'Client 17'!Z33</f>
        <v>0</v>
      </c>
      <c r="J595" s="2">
        <f>'Client 17'!AA33</f>
        <v>0</v>
      </c>
      <c r="K595" s="2">
        <f>'Client 17'!AB33</f>
        <v>0</v>
      </c>
      <c r="L595" s="2" cm="1">
        <f t="array" aca="1" ref="L595" ca="1">IF(B595=0,0,INDIRECT("MRN_"&amp;A595))</f>
        <v>0</v>
      </c>
      <c r="M595" s="2">
        <f t="shared" si="96"/>
        <v>0</v>
      </c>
      <c r="N595" s="2" t="str">
        <f t="shared" si="97"/>
        <v>No</v>
      </c>
      <c r="O595" s="2" t="str">
        <f t="shared" si="98"/>
        <v>No</v>
      </c>
      <c r="P595" s="2" t="str" cm="1">
        <f t="array" aca="1" ref="P595" ca="1">IF(OR(INDIRECT("MRN_"&amp;A595)="N/A",B595=0),"No","Yes")</f>
        <v>No</v>
      </c>
    </row>
    <row r="596" spans="1:16" x14ac:dyDescent="0.2">
      <c r="A596" s="68">
        <v>17</v>
      </c>
      <c r="B596" s="349">
        <f>'Client 17'!S34</f>
        <v>0</v>
      </c>
      <c r="C596" s="2">
        <f>'Client 17'!T34</f>
        <v>0</v>
      </c>
      <c r="D596" s="2">
        <f>'Client 17'!U34</f>
        <v>0</v>
      </c>
      <c r="E596" s="2">
        <f>'Client 17'!V34</f>
        <v>0</v>
      </c>
      <c r="F596" s="350">
        <f>'Client 17'!W34</f>
        <v>0</v>
      </c>
      <c r="G596" s="2">
        <f>'Client 17'!X34</f>
        <v>0</v>
      </c>
      <c r="H596" s="2">
        <f>'Client 17'!Y34</f>
        <v>0</v>
      </c>
      <c r="I596" s="2">
        <f>'Client 17'!Z34</f>
        <v>0</v>
      </c>
      <c r="J596" s="2">
        <f>'Client 17'!AA34</f>
        <v>0</v>
      </c>
      <c r="K596" s="2">
        <f>'Client 17'!AB34</f>
        <v>0</v>
      </c>
      <c r="L596" s="2" cm="1">
        <f t="array" aca="1" ref="L596" ca="1">IF(B596=0,0,INDIRECT("MRN_"&amp;A596))</f>
        <v>0</v>
      </c>
      <c r="M596" s="2">
        <f t="shared" si="96"/>
        <v>0</v>
      </c>
      <c r="N596" s="2" t="str">
        <f t="shared" si="97"/>
        <v>No</v>
      </c>
      <c r="O596" s="2" t="str">
        <f t="shared" si="98"/>
        <v>No</v>
      </c>
      <c r="P596" s="2" t="str" cm="1">
        <f t="array" aca="1" ref="P596" ca="1">IF(OR(INDIRECT("MRN_"&amp;A596)="N/A",B596=0),"No","Yes")</f>
        <v>No</v>
      </c>
    </row>
    <row r="597" spans="1:16" x14ac:dyDescent="0.2">
      <c r="A597" s="68">
        <v>17</v>
      </c>
      <c r="B597" s="349">
        <f>'Client 17'!S35</f>
        <v>0</v>
      </c>
      <c r="C597" s="2">
        <f>'Client 17'!T35</f>
        <v>0</v>
      </c>
      <c r="D597" s="2">
        <f>'Client 17'!U35</f>
        <v>0</v>
      </c>
      <c r="E597" s="2">
        <f>'Client 17'!V35</f>
        <v>0</v>
      </c>
      <c r="F597" s="350">
        <f>'Client 17'!W35</f>
        <v>0</v>
      </c>
      <c r="G597" s="2">
        <f>'Client 17'!X35</f>
        <v>0</v>
      </c>
      <c r="H597" s="2">
        <f>'Client 17'!Y35</f>
        <v>0</v>
      </c>
      <c r="I597" s="2">
        <f>'Client 17'!Z35</f>
        <v>0</v>
      </c>
      <c r="J597" s="2">
        <f>'Client 17'!AA35</f>
        <v>0</v>
      </c>
      <c r="K597" s="2">
        <f>'Client 17'!AB35</f>
        <v>0</v>
      </c>
      <c r="L597" s="2" cm="1">
        <f t="array" aca="1" ref="L597" ca="1">IF(B597=0,0,INDIRECT("MRN_"&amp;A597))</f>
        <v>0</v>
      </c>
      <c r="M597" s="2">
        <f t="shared" si="96"/>
        <v>0</v>
      </c>
      <c r="N597" s="2" t="str">
        <f t="shared" si="97"/>
        <v>No</v>
      </c>
      <c r="O597" s="2" t="str">
        <f t="shared" si="98"/>
        <v>No</v>
      </c>
      <c r="P597" s="2" t="str" cm="1">
        <f t="array" aca="1" ref="P597" ca="1">IF(OR(INDIRECT("MRN_"&amp;A597)="N/A",B597=0),"No","Yes")</f>
        <v>No</v>
      </c>
    </row>
    <row r="598" spans="1:16" x14ac:dyDescent="0.2">
      <c r="A598" s="68">
        <v>17</v>
      </c>
      <c r="B598" s="349">
        <f>'Client 17'!S36</f>
        <v>0</v>
      </c>
      <c r="C598" s="2">
        <f>'Client 17'!T36</f>
        <v>0</v>
      </c>
      <c r="D598" s="2">
        <f>'Client 17'!U36</f>
        <v>0</v>
      </c>
      <c r="E598" s="2">
        <f>'Client 17'!V36</f>
        <v>0</v>
      </c>
      <c r="F598" s="350">
        <f>'Client 17'!W36</f>
        <v>0</v>
      </c>
      <c r="G598" s="2">
        <f>'Client 17'!X36</f>
        <v>0</v>
      </c>
      <c r="H598" s="2">
        <f>'Client 17'!Y36</f>
        <v>0</v>
      </c>
      <c r="I598" s="2">
        <f>'Client 17'!Z36</f>
        <v>0</v>
      </c>
      <c r="J598" s="2">
        <f>'Client 17'!AA36</f>
        <v>0</v>
      </c>
      <c r="K598" s="2">
        <f>'Client 17'!AB36</f>
        <v>0</v>
      </c>
      <c r="L598" s="2" cm="1">
        <f t="array" aca="1" ref="L598" ca="1">IF(B598=0,0,INDIRECT("MRN_"&amp;A598))</f>
        <v>0</v>
      </c>
      <c r="M598" s="2">
        <f t="shared" si="96"/>
        <v>0</v>
      </c>
      <c r="N598" s="2" t="str">
        <f t="shared" si="97"/>
        <v>No</v>
      </c>
      <c r="O598" s="2" t="str">
        <f t="shared" si="98"/>
        <v>No</v>
      </c>
      <c r="P598" s="2" t="str" cm="1">
        <f t="array" aca="1" ref="P598" ca="1">IF(OR(INDIRECT("MRN_"&amp;A598)="N/A",B598=0),"No","Yes")</f>
        <v>No</v>
      </c>
    </row>
    <row r="599" spans="1:16" x14ac:dyDescent="0.2">
      <c r="A599" s="68">
        <v>17</v>
      </c>
      <c r="B599" s="349">
        <f>'Client 17'!S37</f>
        <v>0</v>
      </c>
      <c r="C599" s="2">
        <f>'Client 17'!T37</f>
        <v>0</v>
      </c>
      <c r="D599" s="2">
        <f>'Client 17'!U37</f>
        <v>0</v>
      </c>
      <c r="E599" s="2">
        <f>'Client 17'!V37</f>
        <v>0</v>
      </c>
      <c r="F599" s="350">
        <f>'Client 17'!W37</f>
        <v>0</v>
      </c>
      <c r="G599" s="2">
        <f>'Client 17'!X37</f>
        <v>0</v>
      </c>
      <c r="H599" s="2">
        <f>'Client 17'!Y37</f>
        <v>0</v>
      </c>
      <c r="I599" s="2">
        <f>'Client 17'!Z37</f>
        <v>0</v>
      </c>
      <c r="J599" s="2">
        <f>'Client 17'!AA37</f>
        <v>0</v>
      </c>
      <c r="K599" s="2">
        <f>'Client 17'!AB37</f>
        <v>0</v>
      </c>
      <c r="L599" s="2" cm="1">
        <f t="array" aca="1" ref="L599" ca="1">IF(B599=0,0,INDIRECT("MRN_"&amp;A599))</f>
        <v>0</v>
      </c>
      <c r="M599" s="2">
        <f t="shared" si="96"/>
        <v>0</v>
      </c>
      <c r="N599" s="2" t="str">
        <f t="shared" si="97"/>
        <v>No</v>
      </c>
      <c r="O599" s="2" t="str">
        <f t="shared" si="98"/>
        <v>No</v>
      </c>
      <c r="P599" s="2" t="str" cm="1">
        <f t="array" aca="1" ref="P599" ca="1">IF(OR(INDIRECT("MRN_"&amp;A599)="N/A",B599=0),"No","Yes")</f>
        <v>No</v>
      </c>
    </row>
    <row r="600" spans="1:16" x14ac:dyDescent="0.2">
      <c r="A600" s="68">
        <v>17</v>
      </c>
      <c r="B600" s="349">
        <f>'Client 17'!S38</f>
        <v>0</v>
      </c>
      <c r="C600" s="2">
        <f>'Client 17'!T38</f>
        <v>0</v>
      </c>
      <c r="D600" s="2">
        <f>'Client 17'!U38</f>
        <v>0</v>
      </c>
      <c r="E600" s="2">
        <f>'Client 17'!V38</f>
        <v>0</v>
      </c>
      <c r="F600" s="350">
        <f>'Client 17'!W38</f>
        <v>0</v>
      </c>
      <c r="G600" s="2">
        <f>'Client 17'!X38</f>
        <v>0</v>
      </c>
      <c r="H600" s="2">
        <f>'Client 17'!Y38</f>
        <v>0</v>
      </c>
      <c r="I600" s="2">
        <f>'Client 17'!Z38</f>
        <v>0</v>
      </c>
      <c r="J600" s="2">
        <f>'Client 17'!AA38</f>
        <v>0</v>
      </c>
      <c r="K600" s="2">
        <f>'Client 17'!AB38</f>
        <v>0</v>
      </c>
      <c r="L600" s="2" cm="1">
        <f t="array" aca="1" ref="L600" ca="1">IF(B600=0,0,INDIRECT("MRN_"&amp;A600))</f>
        <v>0</v>
      </c>
      <c r="M600" s="2">
        <f t="shared" si="96"/>
        <v>0</v>
      </c>
      <c r="N600" s="2" t="str">
        <f t="shared" si="97"/>
        <v>No</v>
      </c>
      <c r="O600" s="2" t="str">
        <f t="shared" si="98"/>
        <v>No</v>
      </c>
      <c r="P600" s="2" t="str" cm="1">
        <f t="array" aca="1" ref="P600" ca="1">IF(OR(INDIRECT("MRN_"&amp;A600)="N/A",B600=0),"No","Yes")</f>
        <v>No</v>
      </c>
    </row>
    <row r="601" spans="1:16" x14ac:dyDescent="0.2">
      <c r="A601" s="68">
        <v>18</v>
      </c>
      <c r="B601" s="349">
        <f>'Client 18'!S9</f>
        <v>0</v>
      </c>
      <c r="C601" s="2">
        <f>'Client 18'!T9</f>
        <v>0</v>
      </c>
      <c r="D601" s="2">
        <f>'Client 18'!U9</f>
        <v>0</v>
      </c>
      <c r="E601" s="2">
        <f>'Client 18'!V9</f>
        <v>0</v>
      </c>
      <c r="F601" s="350">
        <f>'Client 18'!W9</f>
        <v>0</v>
      </c>
      <c r="G601" s="2">
        <f>'Client 18'!X9</f>
        <v>0</v>
      </c>
      <c r="H601" s="2">
        <f>'Client 18'!Y9</f>
        <v>0</v>
      </c>
      <c r="I601" s="2">
        <f>'Client 18'!Z9</f>
        <v>0</v>
      </c>
      <c r="J601" s="2">
        <f>'Client 18'!AA9</f>
        <v>0</v>
      </c>
      <c r="K601" s="2">
        <f>'Client 18'!AB9</f>
        <v>0</v>
      </c>
      <c r="L601" s="2" cm="1">
        <f t="array" aca="1" ref="L601" ca="1">IF(B601=0,0,INDIRECT("MRN_"&amp;A601))</f>
        <v>0</v>
      </c>
      <c r="M601" s="2">
        <f t="shared" si="96"/>
        <v>0</v>
      </c>
      <c r="N601" s="2" t="str">
        <f t="shared" si="97"/>
        <v>No</v>
      </c>
      <c r="O601" s="2" t="str">
        <f t="shared" si="98"/>
        <v>No</v>
      </c>
      <c r="P601" s="2" t="str" cm="1">
        <f t="array" aca="1" ref="P601" ca="1">IF(OR(INDIRECT("MRN_"&amp;A601)="N/A",B601=0),"No","Yes")</f>
        <v>No</v>
      </c>
    </row>
    <row r="602" spans="1:16" x14ac:dyDescent="0.2">
      <c r="A602" s="68">
        <v>18</v>
      </c>
      <c r="B602" s="349">
        <f>'Client 18'!S10</f>
        <v>0</v>
      </c>
      <c r="C602" s="2">
        <f>'Client 18'!T10</f>
        <v>0</v>
      </c>
      <c r="D602" s="2">
        <f>'Client 18'!U10</f>
        <v>0</v>
      </c>
      <c r="E602" s="2">
        <f>'Client 18'!V10</f>
        <v>0</v>
      </c>
      <c r="F602" s="350">
        <f>'Client 18'!W10</f>
        <v>0</v>
      </c>
      <c r="G602" s="2">
        <f>'Client 18'!X10</f>
        <v>0</v>
      </c>
      <c r="H602" s="2">
        <f>'Client 18'!Y10</f>
        <v>0</v>
      </c>
      <c r="I602" s="2">
        <f>'Client 18'!Z10</f>
        <v>0</v>
      </c>
      <c r="J602" s="2">
        <f>'Client 18'!AA10</f>
        <v>0</v>
      </c>
      <c r="K602" s="2">
        <f>'Client 18'!AB10</f>
        <v>0</v>
      </c>
      <c r="L602" s="2" cm="1">
        <f t="array" aca="1" ref="L602" ca="1">IF(B602=0,0,INDIRECT("MRN_"&amp;A602))</f>
        <v>0</v>
      </c>
      <c r="M602" s="2">
        <f t="shared" si="96"/>
        <v>0</v>
      </c>
      <c r="N602" s="2" t="str">
        <f t="shared" si="97"/>
        <v>No</v>
      </c>
      <c r="O602" s="2" t="str">
        <f t="shared" si="98"/>
        <v>No</v>
      </c>
      <c r="P602" s="2" t="str" cm="1">
        <f t="array" aca="1" ref="P602" ca="1">IF(OR(INDIRECT("MRN_"&amp;A602)="N/A",B602=0),"No","Yes")</f>
        <v>No</v>
      </c>
    </row>
    <row r="603" spans="1:16" x14ac:dyDescent="0.2">
      <c r="A603" s="68">
        <v>18</v>
      </c>
      <c r="B603" s="349">
        <f>'Client 18'!S11</f>
        <v>0</v>
      </c>
      <c r="C603" s="2">
        <f>'Client 18'!T11</f>
        <v>0</v>
      </c>
      <c r="D603" s="2">
        <f>'Client 18'!U11</f>
        <v>0</v>
      </c>
      <c r="E603" s="2">
        <f>'Client 18'!V11</f>
        <v>0</v>
      </c>
      <c r="F603" s="350">
        <f>'Client 18'!W11</f>
        <v>0</v>
      </c>
      <c r="G603" s="2">
        <f>'Client 18'!X11</f>
        <v>0</v>
      </c>
      <c r="H603" s="2">
        <f>'Client 18'!Y11</f>
        <v>0</v>
      </c>
      <c r="I603" s="2">
        <f>'Client 18'!Z11</f>
        <v>0</v>
      </c>
      <c r="J603" s="2">
        <f>'Client 18'!AA11</f>
        <v>0</v>
      </c>
      <c r="K603" s="2">
        <f>'Client 18'!AB11</f>
        <v>0</v>
      </c>
      <c r="L603" s="2" cm="1">
        <f t="array" aca="1" ref="L603" ca="1">IF(B603=0,0,INDIRECT("MRN_"&amp;A603))</f>
        <v>0</v>
      </c>
      <c r="M603" s="2">
        <f t="shared" si="96"/>
        <v>0</v>
      </c>
      <c r="N603" s="2" t="str">
        <f t="shared" si="97"/>
        <v>No</v>
      </c>
      <c r="O603" s="2" t="str">
        <f t="shared" si="98"/>
        <v>No</v>
      </c>
      <c r="P603" s="2" t="str" cm="1">
        <f t="array" aca="1" ref="P603" ca="1">IF(OR(INDIRECT("MRN_"&amp;A603)="N/A",B603=0),"No","Yes")</f>
        <v>No</v>
      </c>
    </row>
    <row r="604" spans="1:16" x14ac:dyDescent="0.2">
      <c r="A604" s="68">
        <v>18</v>
      </c>
      <c r="B604" s="349">
        <f>'Client 18'!S12</f>
        <v>0</v>
      </c>
      <c r="C604" s="2">
        <f>'Client 18'!T12</f>
        <v>0</v>
      </c>
      <c r="D604" s="2">
        <f>'Client 18'!U12</f>
        <v>0</v>
      </c>
      <c r="E604" s="2">
        <f>'Client 18'!V12</f>
        <v>0</v>
      </c>
      <c r="F604" s="350">
        <f>'Client 18'!W12</f>
        <v>0</v>
      </c>
      <c r="G604" s="2">
        <f>'Client 18'!X12</f>
        <v>0</v>
      </c>
      <c r="H604" s="2">
        <f>'Client 18'!Y12</f>
        <v>0</v>
      </c>
      <c r="I604" s="2">
        <f>'Client 18'!Z12</f>
        <v>0</v>
      </c>
      <c r="J604" s="2">
        <f>'Client 18'!AA12</f>
        <v>0</v>
      </c>
      <c r="K604" s="2">
        <f>'Client 18'!AB12</f>
        <v>0</v>
      </c>
      <c r="L604" s="2" cm="1">
        <f t="array" aca="1" ref="L604" ca="1">IF(B604=0,0,INDIRECT("MRN_"&amp;A604))</f>
        <v>0</v>
      </c>
      <c r="M604" s="2">
        <f t="shared" ref="M604:M667" si="99">IF(B604=0,0,"Client_"&amp;A604)</f>
        <v>0</v>
      </c>
      <c r="N604" s="2" t="str">
        <f t="shared" ref="N604:N667" si="100">IF(J604=0,"No","Yes")</f>
        <v>No</v>
      </c>
      <c r="O604" s="2" t="str">
        <f t="shared" ref="O604:O667" si="101">IF(I604=0,"No","Yes")</f>
        <v>No</v>
      </c>
      <c r="P604" s="2" t="str" cm="1">
        <f t="array" aca="1" ref="P604" ca="1">IF(OR(INDIRECT("MRN_"&amp;A604)="N/A",B604=0),"No","Yes")</f>
        <v>No</v>
      </c>
    </row>
    <row r="605" spans="1:16" x14ac:dyDescent="0.2">
      <c r="A605" s="68">
        <v>18</v>
      </c>
      <c r="B605" s="349">
        <f>'Client 18'!S13</f>
        <v>0</v>
      </c>
      <c r="C605" s="2">
        <f>'Client 18'!T13</f>
        <v>0</v>
      </c>
      <c r="D605" s="2">
        <f>'Client 18'!U13</f>
        <v>0</v>
      </c>
      <c r="E605" s="2">
        <f>'Client 18'!V13</f>
        <v>0</v>
      </c>
      <c r="F605" s="350">
        <f>'Client 18'!W13</f>
        <v>0</v>
      </c>
      <c r="G605" s="2">
        <f>'Client 18'!X13</f>
        <v>0</v>
      </c>
      <c r="H605" s="2">
        <f>'Client 18'!Y13</f>
        <v>0</v>
      </c>
      <c r="I605" s="2">
        <f>'Client 18'!Z13</f>
        <v>0</v>
      </c>
      <c r="J605" s="2">
        <f>'Client 18'!AA13</f>
        <v>0</v>
      </c>
      <c r="K605" s="2">
        <f>'Client 18'!AB13</f>
        <v>0</v>
      </c>
      <c r="L605" s="2" cm="1">
        <f t="array" aca="1" ref="L605" ca="1">IF(B605=0,0,INDIRECT("MRN_"&amp;A605))</f>
        <v>0</v>
      </c>
      <c r="M605" s="2">
        <f t="shared" si="99"/>
        <v>0</v>
      </c>
      <c r="N605" s="2" t="str">
        <f t="shared" si="100"/>
        <v>No</v>
      </c>
      <c r="O605" s="2" t="str">
        <f t="shared" si="101"/>
        <v>No</v>
      </c>
      <c r="P605" s="2" t="str" cm="1">
        <f t="array" aca="1" ref="P605" ca="1">IF(OR(INDIRECT("MRN_"&amp;A605)="N/A",B605=0),"No","Yes")</f>
        <v>No</v>
      </c>
    </row>
    <row r="606" spans="1:16" x14ac:dyDescent="0.2">
      <c r="A606" s="68">
        <v>18</v>
      </c>
      <c r="B606" s="349">
        <f>'Client 18'!S14</f>
        <v>0</v>
      </c>
      <c r="C606" s="2">
        <f>'Client 18'!T14</f>
        <v>0</v>
      </c>
      <c r="D606" s="2">
        <f>'Client 18'!U14</f>
        <v>0</v>
      </c>
      <c r="E606" s="2">
        <f>'Client 18'!V14</f>
        <v>0</v>
      </c>
      <c r="F606" s="350">
        <f>'Client 18'!W14</f>
        <v>0</v>
      </c>
      <c r="G606" s="2">
        <f>'Client 18'!X14</f>
        <v>0</v>
      </c>
      <c r="H606" s="2">
        <f>'Client 18'!Y14</f>
        <v>0</v>
      </c>
      <c r="I606" s="2">
        <f>'Client 18'!Z14</f>
        <v>0</v>
      </c>
      <c r="J606" s="2">
        <f>'Client 18'!AA14</f>
        <v>0</v>
      </c>
      <c r="K606" s="2">
        <f>'Client 18'!AB14</f>
        <v>0</v>
      </c>
      <c r="L606" s="2" cm="1">
        <f t="array" aca="1" ref="L606" ca="1">IF(B606=0,0,INDIRECT("MRN_"&amp;A606))</f>
        <v>0</v>
      </c>
      <c r="M606" s="2">
        <f t="shared" si="99"/>
        <v>0</v>
      </c>
      <c r="N606" s="2" t="str">
        <f t="shared" si="100"/>
        <v>No</v>
      </c>
      <c r="O606" s="2" t="str">
        <f t="shared" si="101"/>
        <v>No</v>
      </c>
      <c r="P606" s="2" t="str" cm="1">
        <f t="array" aca="1" ref="P606" ca="1">IF(OR(INDIRECT("MRN_"&amp;A606)="N/A",B606=0),"No","Yes")</f>
        <v>No</v>
      </c>
    </row>
    <row r="607" spans="1:16" x14ac:dyDescent="0.2">
      <c r="A607" s="68">
        <v>18</v>
      </c>
      <c r="B607" s="349">
        <f>'Client 18'!S15</f>
        <v>0</v>
      </c>
      <c r="C607" s="2">
        <f>'Client 18'!T15</f>
        <v>0</v>
      </c>
      <c r="D607" s="2">
        <f>'Client 18'!U15</f>
        <v>0</v>
      </c>
      <c r="E607" s="2">
        <f>'Client 18'!V15</f>
        <v>0</v>
      </c>
      <c r="F607" s="350">
        <f>'Client 18'!W15</f>
        <v>0</v>
      </c>
      <c r="G607" s="2">
        <f>'Client 18'!X15</f>
        <v>0</v>
      </c>
      <c r="H607" s="2">
        <f>'Client 18'!Y15</f>
        <v>0</v>
      </c>
      <c r="I607" s="2">
        <f>'Client 18'!Z15</f>
        <v>0</v>
      </c>
      <c r="J607" s="2">
        <f>'Client 18'!AA15</f>
        <v>0</v>
      </c>
      <c r="K607" s="2">
        <f>'Client 18'!AB15</f>
        <v>0</v>
      </c>
      <c r="L607" s="2" cm="1">
        <f t="array" aca="1" ref="L607" ca="1">IF(B607=0,0,INDIRECT("MRN_"&amp;A607))</f>
        <v>0</v>
      </c>
      <c r="M607" s="2">
        <f t="shared" si="99"/>
        <v>0</v>
      </c>
      <c r="N607" s="2" t="str">
        <f t="shared" si="100"/>
        <v>No</v>
      </c>
      <c r="O607" s="2" t="str">
        <f t="shared" si="101"/>
        <v>No</v>
      </c>
      <c r="P607" s="2" t="str" cm="1">
        <f t="array" aca="1" ref="P607" ca="1">IF(OR(INDIRECT("MRN_"&amp;A607)="N/A",B607=0),"No","Yes")</f>
        <v>No</v>
      </c>
    </row>
    <row r="608" spans="1:16" x14ac:dyDescent="0.2">
      <c r="A608" s="68">
        <v>18</v>
      </c>
      <c r="B608" s="349">
        <f>'Client 18'!S16</f>
        <v>0</v>
      </c>
      <c r="C608" s="2">
        <f>'Client 18'!T16</f>
        <v>0</v>
      </c>
      <c r="D608" s="2">
        <f>'Client 18'!U16</f>
        <v>0</v>
      </c>
      <c r="E608" s="2">
        <f>'Client 18'!V16</f>
        <v>0</v>
      </c>
      <c r="F608" s="350">
        <f>'Client 18'!W16</f>
        <v>0</v>
      </c>
      <c r="G608" s="2">
        <f>'Client 18'!X16</f>
        <v>0</v>
      </c>
      <c r="H608" s="2">
        <f>'Client 18'!Y16</f>
        <v>0</v>
      </c>
      <c r="I608" s="2">
        <f>'Client 18'!Z16</f>
        <v>0</v>
      </c>
      <c r="J608" s="2">
        <f>'Client 18'!AA16</f>
        <v>0</v>
      </c>
      <c r="K608" s="2">
        <f>'Client 18'!AB16</f>
        <v>0</v>
      </c>
      <c r="L608" s="2" cm="1">
        <f t="array" aca="1" ref="L608" ca="1">IF(B608=0,0,INDIRECT("MRN_"&amp;A608))</f>
        <v>0</v>
      </c>
      <c r="M608" s="2">
        <f t="shared" si="99"/>
        <v>0</v>
      </c>
      <c r="N608" s="2" t="str">
        <f t="shared" si="100"/>
        <v>No</v>
      </c>
      <c r="O608" s="2" t="str">
        <f t="shared" si="101"/>
        <v>No</v>
      </c>
      <c r="P608" s="2" t="str" cm="1">
        <f t="array" aca="1" ref="P608" ca="1">IF(OR(INDIRECT("MRN_"&amp;A608)="N/A",B608=0),"No","Yes")</f>
        <v>No</v>
      </c>
    </row>
    <row r="609" spans="1:16" x14ac:dyDescent="0.2">
      <c r="A609" s="68">
        <v>18</v>
      </c>
      <c r="B609" s="349">
        <f>'Client 18'!S17</f>
        <v>0</v>
      </c>
      <c r="C609" s="2">
        <f>'Client 18'!T17</f>
        <v>0</v>
      </c>
      <c r="D609" s="2">
        <f>'Client 18'!U17</f>
        <v>0</v>
      </c>
      <c r="E609" s="2">
        <f>'Client 18'!V17</f>
        <v>0</v>
      </c>
      <c r="F609" s="350">
        <f>'Client 18'!W17</f>
        <v>0</v>
      </c>
      <c r="G609" s="2">
        <f>'Client 18'!X17</f>
        <v>0</v>
      </c>
      <c r="H609" s="2">
        <f>'Client 18'!Y17</f>
        <v>0</v>
      </c>
      <c r="I609" s="2">
        <f>'Client 18'!Z17</f>
        <v>0</v>
      </c>
      <c r="J609" s="2">
        <f>'Client 18'!AA17</f>
        <v>0</v>
      </c>
      <c r="K609" s="2">
        <f>'Client 18'!AB17</f>
        <v>0</v>
      </c>
      <c r="L609" s="2" cm="1">
        <f t="array" aca="1" ref="L609" ca="1">IF(B609=0,0,INDIRECT("MRN_"&amp;A609))</f>
        <v>0</v>
      </c>
      <c r="M609" s="2">
        <f t="shared" si="99"/>
        <v>0</v>
      </c>
      <c r="N609" s="2" t="str">
        <f t="shared" si="100"/>
        <v>No</v>
      </c>
      <c r="O609" s="2" t="str">
        <f t="shared" si="101"/>
        <v>No</v>
      </c>
      <c r="P609" s="2" t="str" cm="1">
        <f t="array" aca="1" ref="P609" ca="1">IF(OR(INDIRECT("MRN_"&amp;A609)="N/A",B609=0),"No","Yes")</f>
        <v>No</v>
      </c>
    </row>
    <row r="610" spans="1:16" x14ac:dyDescent="0.2">
      <c r="A610" s="68">
        <v>18</v>
      </c>
      <c r="B610" s="349">
        <f>'Client 18'!S18</f>
        <v>0</v>
      </c>
      <c r="C610" s="2">
        <f>'Client 18'!T18</f>
        <v>0</v>
      </c>
      <c r="D610" s="2">
        <f>'Client 18'!U18</f>
        <v>0</v>
      </c>
      <c r="E610" s="2">
        <f>'Client 18'!V18</f>
        <v>0</v>
      </c>
      <c r="F610" s="350">
        <f>'Client 18'!W18</f>
        <v>0</v>
      </c>
      <c r="G610" s="2">
        <f>'Client 18'!X18</f>
        <v>0</v>
      </c>
      <c r="H610" s="2">
        <f>'Client 18'!Y18</f>
        <v>0</v>
      </c>
      <c r="I610" s="2">
        <f>'Client 18'!Z18</f>
        <v>0</v>
      </c>
      <c r="J610" s="2">
        <f>'Client 18'!AA18</f>
        <v>0</v>
      </c>
      <c r="K610" s="2">
        <f>'Client 18'!AB18</f>
        <v>0</v>
      </c>
      <c r="L610" s="2" cm="1">
        <f t="array" aca="1" ref="L610" ca="1">IF(B610=0,0,INDIRECT("MRN_"&amp;A610))</f>
        <v>0</v>
      </c>
      <c r="M610" s="2">
        <f t="shared" si="99"/>
        <v>0</v>
      </c>
      <c r="N610" s="2" t="str">
        <f t="shared" si="100"/>
        <v>No</v>
      </c>
      <c r="O610" s="2" t="str">
        <f t="shared" si="101"/>
        <v>No</v>
      </c>
      <c r="P610" s="2" t="str" cm="1">
        <f t="array" aca="1" ref="P610" ca="1">IF(OR(INDIRECT("MRN_"&amp;A610)="N/A",B610=0),"No","Yes")</f>
        <v>No</v>
      </c>
    </row>
    <row r="611" spans="1:16" x14ac:dyDescent="0.2">
      <c r="A611" s="68">
        <v>18</v>
      </c>
      <c r="B611" s="349">
        <f>'Client 18'!S19</f>
        <v>0</v>
      </c>
      <c r="C611" s="2">
        <f>'Client 18'!T19</f>
        <v>0</v>
      </c>
      <c r="D611" s="2">
        <f>'Client 18'!U19</f>
        <v>0</v>
      </c>
      <c r="E611" s="2">
        <f>'Client 18'!V19</f>
        <v>0</v>
      </c>
      <c r="F611" s="350">
        <f>'Client 18'!W19</f>
        <v>0</v>
      </c>
      <c r="G611" s="2">
        <f>'Client 18'!X19</f>
        <v>0</v>
      </c>
      <c r="H611" s="2">
        <f>'Client 18'!Y19</f>
        <v>0</v>
      </c>
      <c r="I611" s="2">
        <f>'Client 18'!Z19</f>
        <v>0</v>
      </c>
      <c r="J611" s="2">
        <f>'Client 18'!AA19</f>
        <v>0</v>
      </c>
      <c r="K611" s="2">
        <f>'Client 18'!AB19</f>
        <v>0</v>
      </c>
      <c r="L611" s="2" cm="1">
        <f t="array" aca="1" ref="L611" ca="1">IF(B611=0,0,INDIRECT("MRN_"&amp;A611))</f>
        <v>0</v>
      </c>
      <c r="M611" s="2">
        <f t="shared" si="99"/>
        <v>0</v>
      </c>
      <c r="N611" s="2" t="str">
        <f t="shared" si="100"/>
        <v>No</v>
      </c>
      <c r="O611" s="2" t="str">
        <f t="shared" si="101"/>
        <v>No</v>
      </c>
      <c r="P611" s="2" t="str" cm="1">
        <f t="array" aca="1" ref="P611" ca="1">IF(OR(INDIRECT("MRN_"&amp;A611)="N/A",B611=0),"No","Yes")</f>
        <v>No</v>
      </c>
    </row>
    <row r="612" spans="1:16" x14ac:dyDescent="0.2">
      <c r="A612" s="68">
        <v>18</v>
      </c>
      <c r="B612" s="349">
        <f>'Client 18'!S20</f>
        <v>0</v>
      </c>
      <c r="C612" s="2">
        <f>'Client 18'!T20</f>
        <v>0</v>
      </c>
      <c r="D612" s="2">
        <f>'Client 18'!U20</f>
        <v>0</v>
      </c>
      <c r="E612" s="2">
        <f>'Client 18'!V20</f>
        <v>0</v>
      </c>
      <c r="F612" s="350">
        <f>'Client 18'!W20</f>
        <v>0</v>
      </c>
      <c r="G612" s="2">
        <f>'Client 18'!X20</f>
        <v>0</v>
      </c>
      <c r="H612" s="2">
        <f>'Client 18'!Y20</f>
        <v>0</v>
      </c>
      <c r="I612" s="2">
        <f>'Client 18'!Z20</f>
        <v>0</v>
      </c>
      <c r="J612" s="2">
        <f>'Client 18'!AA20</f>
        <v>0</v>
      </c>
      <c r="K612" s="2">
        <f>'Client 18'!AB20</f>
        <v>0</v>
      </c>
      <c r="L612" s="2" cm="1">
        <f t="array" aca="1" ref="L612" ca="1">IF(B612=0,0,INDIRECT("MRN_"&amp;A612))</f>
        <v>0</v>
      </c>
      <c r="M612" s="2">
        <f t="shared" si="99"/>
        <v>0</v>
      </c>
      <c r="N612" s="2" t="str">
        <f t="shared" si="100"/>
        <v>No</v>
      </c>
      <c r="O612" s="2" t="str">
        <f t="shared" si="101"/>
        <v>No</v>
      </c>
      <c r="P612" s="2" t="str" cm="1">
        <f t="array" aca="1" ref="P612" ca="1">IF(OR(INDIRECT("MRN_"&amp;A612)="N/A",B612=0),"No","Yes")</f>
        <v>No</v>
      </c>
    </row>
    <row r="613" spans="1:16" x14ac:dyDescent="0.2">
      <c r="A613" s="68">
        <v>18</v>
      </c>
      <c r="B613" s="349">
        <f>'Client 18'!S21</f>
        <v>0</v>
      </c>
      <c r="C613" s="2">
        <f>'Client 18'!T21</f>
        <v>0</v>
      </c>
      <c r="D613" s="2">
        <f>'Client 18'!U21</f>
        <v>0</v>
      </c>
      <c r="E613" s="2">
        <f>'Client 18'!V21</f>
        <v>0</v>
      </c>
      <c r="F613" s="350">
        <f>'Client 18'!W21</f>
        <v>0</v>
      </c>
      <c r="G613" s="2">
        <f>'Client 18'!X21</f>
        <v>0</v>
      </c>
      <c r="H613" s="2">
        <f>'Client 18'!Y21</f>
        <v>0</v>
      </c>
      <c r="I613" s="2">
        <f>'Client 18'!Z21</f>
        <v>0</v>
      </c>
      <c r="J613" s="2">
        <f>'Client 18'!AA21</f>
        <v>0</v>
      </c>
      <c r="K613" s="2">
        <f>'Client 18'!AB21</f>
        <v>0</v>
      </c>
      <c r="L613" s="2" cm="1">
        <f t="array" aca="1" ref="L613" ca="1">IF(B613=0,0,INDIRECT("MRN_"&amp;A613))</f>
        <v>0</v>
      </c>
      <c r="M613" s="2">
        <f t="shared" si="99"/>
        <v>0</v>
      </c>
      <c r="N613" s="2" t="str">
        <f t="shared" si="100"/>
        <v>No</v>
      </c>
      <c r="O613" s="2" t="str">
        <f t="shared" si="101"/>
        <v>No</v>
      </c>
      <c r="P613" s="2" t="str" cm="1">
        <f t="array" aca="1" ref="P613" ca="1">IF(OR(INDIRECT("MRN_"&amp;A613)="N/A",B613=0),"No","Yes")</f>
        <v>No</v>
      </c>
    </row>
    <row r="614" spans="1:16" x14ac:dyDescent="0.2">
      <c r="A614" s="68">
        <v>18</v>
      </c>
      <c r="B614" s="349">
        <f>'Client 18'!S22</f>
        <v>0</v>
      </c>
      <c r="C614" s="2">
        <f>'Client 18'!T22</f>
        <v>0</v>
      </c>
      <c r="D614" s="2">
        <f>'Client 18'!U22</f>
        <v>0</v>
      </c>
      <c r="E614" s="2">
        <f>'Client 18'!V22</f>
        <v>0</v>
      </c>
      <c r="F614" s="350">
        <f>'Client 18'!W22</f>
        <v>0</v>
      </c>
      <c r="G614" s="2">
        <f>'Client 18'!X22</f>
        <v>0</v>
      </c>
      <c r="H614" s="2">
        <f>'Client 18'!Y22</f>
        <v>0</v>
      </c>
      <c r="I614" s="2">
        <f>'Client 18'!Z22</f>
        <v>0</v>
      </c>
      <c r="J614" s="2">
        <f>'Client 18'!AA22</f>
        <v>0</v>
      </c>
      <c r="K614" s="2">
        <f>'Client 18'!AB22</f>
        <v>0</v>
      </c>
      <c r="L614" s="2" cm="1">
        <f t="array" aca="1" ref="L614" ca="1">IF(B614=0,0,INDIRECT("MRN_"&amp;A614))</f>
        <v>0</v>
      </c>
      <c r="M614" s="2">
        <f t="shared" si="99"/>
        <v>0</v>
      </c>
      <c r="N614" s="2" t="str">
        <f t="shared" si="100"/>
        <v>No</v>
      </c>
      <c r="O614" s="2" t="str">
        <f t="shared" si="101"/>
        <v>No</v>
      </c>
      <c r="P614" s="2" t="str" cm="1">
        <f t="array" aca="1" ref="P614" ca="1">IF(OR(INDIRECT("MRN_"&amp;A614)="N/A",B614=0),"No","Yes")</f>
        <v>No</v>
      </c>
    </row>
    <row r="615" spans="1:16" x14ac:dyDescent="0.2">
      <c r="A615" s="68">
        <v>18</v>
      </c>
      <c r="B615" s="349">
        <f>'Client 18'!S23</f>
        <v>0</v>
      </c>
      <c r="C615" s="2">
        <f>'Client 18'!T23</f>
        <v>0</v>
      </c>
      <c r="D615" s="2">
        <f>'Client 18'!U23</f>
        <v>0</v>
      </c>
      <c r="E615" s="2">
        <f>'Client 18'!V23</f>
        <v>0</v>
      </c>
      <c r="F615" s="350">
        <f>'Client 18'!W23</f>
        <v>0</v>
      </c>
      <c r="G615" s="2">
        <f>'Client 18'!X23</f>
        <v>0</v>
      </c>
      <c r="H615" s="2">
        <f>'Client 18'!Y23</f>
        <v>0</v>
      </c>
      <c r="I615" s="2">
        <f>'Client 18'!Z23</f>
        <v>0</v>
      </c>
      <c r="J615" s="2">
        <f>'Client 18'!AA23</f>
        <v>0</v>
      </c>
      <c r="K615" s="2">
        <f>'Client 18'!AB23</f>
        <v>0</v>
      </c>
      <c r="L615" s="2" cm="1">
        <f t="array" aca="1" ref="L615" ca="1">IF(B615=0,0,INDIRECT("MRN_"&amp;A615))</f>
        <v>0</v>
      </c>
      <c r="M615" s="2">
        <f t="shared" si="99"/>
        <v>0</v>
      </c>
      <c r="N615" s="2" t="str">
        <f t="shared" si="100"/>
        <v>No</v>
      </c>
      <c r="O615" s="2" t="str">
        <f t="shared" si="101"/>
        <v>No</v>
      </c>
      <c r="P615" s="2" t="str" cm="1">
        <f t="array" aca="1" ref="P615" ca="1">IF(OR(INDIRECT("MRN_"&amp;A615)="N/A",B615=0),"No","Yes")</f>
        <v>No</v>
      </c>
    </row>
    <row r="616" spans="1:16" x14ac:dyDescent="0.2">
      <c r="A616" s="68">
        <v>18</v>
      </c>
      <c r="B616" s="349">
        <f>'Client 18'!S24</f>
        <v>0</v>
      </c>
      <c r="C616" s="2">
        <f>'Client 18'!T24</f>
        <v>0</v>
      </c>
      <c r="D616" s="2">
        <f>'Client 18'!U24</f>
        <v>0</v>
      </c>
      <c r="E616" s="2">
        <f>'Client 18'!V24</f>
        <v>0</v>
      </c>
      <c r="F616" s="350">
        <f>'Client 18'!W24</f>
        <v>0</v>
      </c>
      <c r="G616" s="2">
        <f>'Client 18'!X24</f>
        <v>0</v>
      </c>
      <c r="H616" s="2">
        <f>'Client 18'!Y24</f>
        <v>0</v>
      </c>
      <c r="I616" s="2">
        <f>'Client 18'!Z24</f>
        <v>0</v>
      </c>
      <c r="J616" s="2">
        <f>'Client 18'!AA24</f>
        <v>0</v>
      </c>
      <c r="K616" s="2">
        <f>'Client 18'!AB24</f>
        <v>0</v>
      </c>
      <c r="L616" s="2" cm="1">
        <f t="array" aca="1" ref="L616" ca="1">IF(B616=0,0,INDIRECT("MRN_"&amp;A616))</f>
        <v>0</v>
      </c>
      <c r="M616" s="2">
        <f t="shared" si="99"/>
        <v>0</v>
      </c>
      <c r="N616" s="2" t="str">
        <f t="shared" si="100"/>
        <v>No</v>
      </c>
      <c r="O616" s="2" t="str">
        <f t="shared" si="101"/>
        <v>No</v>
      </c>
      <c r="P616" s="2" t="str" cm="1">
        <f t="array" aca="1" ref="P616" ca="1">IF(OR(INDIRECT("MRN_"&amp;A616)="N/A",B616=0),"No","Yes")</f>
        <v>No</v>
      </c>
    </row>
    <row r="617" spans="1:16" x14ac:dyDescent="0.2">
      <c r="A617" s="68">
        <v>18</v>
      </c>
      <c r="B617" s="349">
        <f>'Client 18'!S25</f>
        <v>0</v>
      </c>
      <c r="C617" s="2">
        <f>'Client 18'!T25</f>
        <v>0</v>
      </c>
      <c r="D617" s="2">
        <f>'Client 18'!U25</f>
        <v>0</v>
      </c>
      <c r="E617" s="2">
        <f>'Client 18'!V25</f>
        <v>0</v>
      </c>
      <c r="F617" s="350">
        <f>'Client 18'!W25</f>
        <v>0</v>
      </c>
      <c r="G617" s="2">
        <f>'Client 18'!X25</f>
        <v>0</v>
      </c>
      <c r="H617" s="2">
        <f>'Client 18'!Y25</f>
        <v>0</v>
      </c>
      <c r="I617" s="2">
        <f>'Client 18'!Z25</f>
        <v>0</v>
      </c>
      <c r="J617" s="2">
        <f>'Client 18'!AA25</f>
        <v>0</v>
      </c>
      <c r="K617" s="2">
        <f>'Client 18'!AB25</f>
        <v>0</v>
      </c>
      <c r="L617" s="2" cm="1">
        <f t="array" aca="1" ref="L617" ca="1">IF(B617=0,0,INDIRECT("MRN_"&amp;A617))</f>
        <v>0</v>
      </c>
      <c r="M617" s="2">
        <f t="shared" si="99"/>
        <v>0</v>
      </c>
      <c r="N617" s="2" t="str">
        <f t="shared" si="100"/>
        <v>No</v>
      </c>
      <c r="O617" s="2" t="str">
        <f t="shared" si="101"/>
        <v>No</v>
      </c>
      <c r="P617" s="2" t="str" cm="1">
        <f t="array" aca="1" ref="P617" ca="1">IF(OR(INDIRECT("MRN_"&amp;A617)="N/A",B617=0),"No","Yes")</f>
        <v>No</v>
      </c>
    </row>
    <row r="618" spans="1:16" x14ac:dyDescent="0.2">
      <c r="A618" s="68">
        <v>18</v>
      </c>
      <c r="B618" s="349">
        <f>'Client 18'!S26</f>
        <v>0</v>
      </c>
      <c r="C618" s="2">
        <f>'Client 18'!T26</f>
        <v>0</v>
      </c>
      <c r="D618" s="2">
        <f>'Client 18'!U26</f>
        <v>0</v>
      </c>
      <c r="E618" s="2">
        <f>'Client 18'!V26</f>
        <v>0</v>
      </c>
      <c r="F618" s="350">
        <f>'Client 18'!W26</f>
        <v>0</v>
      </c>
      <c r="G618" s="2">
        <f>'Client 18'!X26</f>
        <v>0</v>
      </c>
      <c r="H618" s="2">
        <f>'Client 18'!Y26</f>
        <v>0</v>
      </c>
      <c r="I618" s="2">
        <f>'Client 18'!Z26</f>
        <v>0</v>
      </c>
      <c r="J618" s="2">
        <f>'Client 18'!AA26</f>
        <v>0</v>
      </c>
      <c r="K618" s="2">
        <f>'Client 18'!AB26</f>
        <v>0</v>
      </c>
      <c r="L618" s="2" cm="1">
        <f t="array" aca="1" ref="L618" ca="1">IF(B618=0,0,INDIRECT("MRN_"&amp;A618))</f>
        <v>0</v>
      </c>
      <c r="M618" s="2">
        <f t="shared" si="99"/>
        <v>0</v>
      </c>
      <c r="N618" s="2" t="str">
        <f t="shared" si="100"/>
        <v>No</v>
      </c>
      <c r="O618" s="2" t="str">
        <f t="shared" si="101"/>
        <v>No</v>
      </c>
      <c r="P618" s="2" t="str" cm="1">
        <f t="array" aca="1" ref="P618" ca="1">IF(OR(INDIRECT("MRN_"&amp;A618)="N/A",B618=0),"No","Yes")</f>
        <v>No</v>
      </c>
    </row>
    <row r="619" spans="1:16" x14ac:dyDescent="0.2">
      <c r="A619" s="68">
        <v>18</v>
      </c>
      <c r="B619" s="349">
        <f>'Client 18'!S27</f>
        <v>0</v>
      </c>
      <c r="C619" s="2">
        <f>'Client 18'!T27</f>
        <v>0</v>
      </c>
      <c r="D619" s="2">
        <f>'Client 18'!U27</f>
        <v>0</v>
      </c>
      <c r="E619" s="2">
        <f>'Client 18'!V27</f>
        <v>0</v>
      </c>
      <c r="F619" s="350">
        <f>'Client 18'!W27</f>
        <v>0</v>
      </c>
      <c r="G619" s="2">
        <f>'Client 18'!X27</f>
        <v>0</v>
      </c>
      <c r="H619" s="2">
        <f>'Client 18'!Y27</f>
        <v>0</v>
      </c>
      <c r="I619" s="2">
        <f>'Client 18'!Z27</f>
        <v>0</v>
      </c>
      <c r="J619" s="2">
        <f>'Client 18'!AA27</f>
        <v>0</v>
      </c>
      <c r="K619" s="2">
        <f>'Client 18'!AB27</f>
        <v>0</v>
      </c>
      <c r="L619" s="2" cm="1">
        <f t="array" aca="1" ref="L619" ca="1">IF(B619=0,0,INDIRECT("MRN_"&amp;A619))</f>
        <v>0</v>
      </c>
      <c r="M619" s="2">
        <f t="shared" si="99"/>
        <v>0</v>
      </c>
      <c r="N619" s="2" t="str">
        <f t="shared" si="100"/>
        <v>No</v>
      </c>
      <c r="O619" s="2" t="str">
        <f t="shared" si="101"/>
        <v>No</v>
      </c>
      <c r="P619" s="2" t="str" cm="1">
        <f t="array" aca="1" ref="P619" ca="1">IF(OR(INDIRECT("MRN_"&amp;A619)="N/A",B619=0),"No","Yes")</f>
        <v>No</v>
      </c>
    </row>
    <row r="620" spans="1:16" x14ac:dyDescent="0.2">
      <c r="A620" s="68">
        <v>18</v>
      </c>
      <c r="B620" s="349">
        <f>'Client 18'!S28</f>
        <v>0</v>
      </c>
      <c r="C620" s="2">
        <f>'Client 18'!T28</f>
        <v>0</v>
      </c>
      <c r="D620" s="2">
        <f>'Client 18'!U28</f>
        <v>0</v>
      </c>
      <c r="E620" s="2">
        <f>'Client 18'!V28</f>
        <v>0</v>
      </c>
      <c r="F620" s="350">
        <f>'Client 18'!W28</f>
        <v>0</v>
      </c>
      <c r="G620" s="2">
        <f>'Client 18'!X28</f>
        <v>0</v>
      </c>
      <c r="H620" s="2">
        <f>'Client 18'!Y28</f>
        <v>0</v>
      </c>
      <c r="I620" s="2">
        <f>'Client 18'!Z28</f>
        <v>0</v>
      </c>
      <c r="J620" s="2">
        <f>'Client 18'!AA28</f>
        <v>0</v>
      </c>
      <c r="K620" s="2">
        <f>'Client 18'!AB28</f>
        <v>0</v>
      </c>
      <c r="L620" s="2" cm="1">
        <f t="array" aca="1" ref="L620" ca="1">IF(B620=0,0,INDIRECT("MRN_"&amp;A620))</f>
        <v>0</v>
      </c>
      <c r="M620" s="2">
        <f t="shared" si="99"/>
        <v>0</v>
      </c>
      <c r="N620" s="2" t="str">
        <f t="shared" si="100"/>
        <v>No</v>
      </c>
      <c r="O620" s="2" t="str">
        <f t="shared" si="101"/>
        <v>No</v>
      </c>
      <c r="P620" s="2" t="str" cm="1">
        <f t="array" aca="1" ref="P620" ca="1">IF(OR(INDIRECT("MRN_"&amp;A620)="N/A",B620=0),"No","Yes")</f>
        <v>No</v>
      </c>
    </row>
    <row r="621" spans="1:16" x14ac:dyDescent="0.2">
      <c r="A621" s="68">
        <v>18</v>
      </c>
      <c r="B621" s="349">
        <f>'Client 18'!S29</f>
        <v>0</v>
      </c>
      <c r="C621" s="2">
        <f>'Client 18'!T29</f>
        <v>0</v>
      </c>
      <c r="D621" s="2">
        <f>'Client 18'!U29</f>
        <v>0</v>
      </c>
      <c r="E621" s="2">
        <f>'Client 18'!V29</f>
        <v>0</v>
      </c>
      <c r="F621" s="350">
        <f>'Client 18'!W29</f>
        <v>0</v>
      </c>
      <c r="G621" s="2">
        <f>'Client 18'!X29</f>
        <v>0</v>
      </c>
      <c r="H621" s="2">
        <f>'Client 18'!Y29</f>
        <v>0</v>
      </c>
      <c r="I621" s="2">
        <f>'Client 18'!Z29</f>
        <v>0</v>
      </c>
      <c r="J621" s="2">
        <f>'Client 18'!AA29</f>
        <v>0</v>
      </c>
      <c r="K621" s="2">
        <f>'Client 18'!AB29</f>
        <v>0</v>
      </c>
      <c r="L621" s="2" cm="1">
        <f t="array" aca="1" ref="L621" ca="1">IF(B621=0,0,INDIRECT("MRN_"&amp;A621))</f>
        <v>0</v>
      </c>
      <c r="M621" s="2">
        <f t="shared" si="99"/>
        <v>0</v>
      </c>
      <c r="N621" s="2" t="str">
        <f t="shared" si="100"/>
        <v>No</v>
      </c>
      <c r="O621" s="2" t="str">
        <f t="shared" si="101"/>
        <v>No</v>
      </c>
      <c r="P621" s="2" t="str" cm="1">
        <f t="array" aca="1" ref="P621" ca="1">IF(OR(INDIRECT("MRN_"&amp;A621)="N/A",B621=0),"No","Yes")</f>
        <v>No</v>
      </c>
    </row>
    <row r="622" spans="1:16" x14ac:dyDescent="0.2">
      <c r="A622" s="68">
        <v>18</v>
      </c>
      <c r="B622" s="349">
        <f>'Client 18'!S30</f>
        <v>0</v>
      </c>
      <c r="C622" s="2">
        <f>'Client 18'!T30</f>
        <v>0</v>
      </c>
      <c r="D622" s="2">
        <f>'Client 18'!U30</f>
        <v>0</v>
      </c>
      <c r="E622" s="2">
        <f>'Client 18'!V30</f>
        <v>0</v>
      </c>
      <c r="F622" s="350">
        <f>'Client 18'!W30</f>
        <v>0</v>
      </c>
      <c r="G622" s="2">
        <f>'Client 18'!X30</f>
        <v>0</v>
      </c>
      <c r="H622" s="2">
        <f>'Client 18'!Y30</f>
        <v>0</v>
      </c>
      <c r="I622" s="2">
        <f>'Client 18'!Z30</f>
        <v>0</v>
      </c>
      <c r="J622" s="2">
        <f>'Client 18'!AA30</f>
        <v>0</v>
      </c>
      <c r="K622" s="2">
        <f>'Client 18'!AB30</f>
        <v>0</v>
      </c>
      <c r="L622" s="2" cm="1">
        <f t="array" aca="1" ref="L622" ca="1">IF(B622=0,0,INDIRECT("MRN_"&amp;A622))</f>
        <v>0</v>
      </c>
      <c r="M622" s="2">
        <f t="shared" si="99"/>
        <v>0</v>
      </c>
      <c r="N622" s="2" t="str">
        <f t="shared" si="100"/>
        <v>No</v>
      </c>
      <c r="O622" s="2" t="str">
        <f t="shared" si="101"/>
        <v>No</v>
      </c>
      <c r="P622" s="2" t="str" cm="1">
        <f t="array" aca="1" ref="P622" ca="1">IF(OR(INDIRECT("MRN_"&amp;A622)="N/A",B622=0),"No","Yes")</f>
        <v>No</v>
      </c>
    </row>
    <row r="623" spans="1:16" x14ac:dyDescent="0.2">
      <c r="A623" s="68">
        <v>18</v>
      </c>
      <c r="B623" s="349">
        <f>'Client 18'!S31</f>
        <v>0</v>
      </c>
      <c r="C623" s="2">
        <f>'Client 18'!T31</f>
        <v>0</v>
      </c>
      <c r="D623" s="2">
        <f>'Client 18'!U31</f>
        <v>0</v>
      </c>
      <c r="E623" s="2">
        <f>'Client 18'!V31</f>
        <v>0</v>
      </c>
      <c r="F623" s="350">
        <f>'Client 18'!W31</f>
        <v>0</v>
      </c>
      <c r="G623" s="2">
        <f>'Client 18'!X31</f>
        <v>0</v>
      </c>
      <c r="H623" s="2">
        <f>'Client 18'!Y31</f>
        <v>0</v>
      </c>
      <c r="I623" s="2">
        <f>'Client 18'!Z31</f>
        <v>0</v>
      </c>
      <c r="J623" s="2">
        <f>'Client 18'!AA31</f>
        <v>0</v>
      </c>
      <c r="K623" s="2">
        <f>'Client 18'!AB31</f>
        <v>0</v>
      </c>
      <c r="L623" s="2" cm="1">
        <f t="array" aca="1" ref="L623" ca="1">IF(B623=0,0,INDIRECT("MRN_"&amp;A623))</f>
        <v>0</v>
      </c>
      <c r="M623" s="2">
        <f t="shared" si="99"/>
        <v>0</v>
      </c>
      <c r="N623" s="2" t="str">
        <f t="shared" si="100"/>
        <v>No</v>
      </c>
      <c r="O623" s="2" t="str">
        <f t="shared" si="101"/>
        <v>No</v>
      </c>
      <c r="P623" s="2" t="str" cm="1">
        <f t="array" aca="1" ref="P623" ca="1">IF(OR(INDIRECT("MRN_"&amp;A623)="N/A",B623=0),"No","Yes")</f>
        <v>No</v>
      </c>
    </row>
    <row r="624" spans="1:16" x14ac:dyDescent="0.2">
      <c r="A624" s="68">
        <v>18</v>
      </c>
      <c r="B624" s="349">
        <f>'Client 18'!S32</f>
        <v>0</v>
      </c>
      <c r="C624" s="2">
        <f>'Client 18'!T32</f>
        <v>0</v>
      </c>
      <c r="D624" s="2">
        <f>'Client 18'!U32</f>
        <v>0</v>
      </c>
      <c r="E624" s="2">
        <f>'Client 18'!V32</f>
        <v>0</v>
      </c>
      <c r="F624" s="350">
        <f>'Client 18'!W32</f>
        <v>0</v>
      </c>
      <c r="G624" s="2">
        <f>'Client 18'!X32</f>
        <v>0</v>
      </c>
      <c r="H624" s="2">
        <f>'Client 18'!Y32</f>
        <v>0</v>
      </c>
      <c r="I624" s="2">
        <f>'Client 18'!Z32</f>
        <v>0</v>
      </c>
      <c r="J624" s="2">
        <f>'Client 18'!AA32</f>
        <v>0</v>
      </c>
      <c r="K624" s="2">
        <f>'Client 18'!AB32</f>
        <v>0</v>
      </c>
      <c r="L624" s="2" cm="1">
        <f t="array" aca="1" ref="L624" ca="1">IF(B624=0,0,INDIRECT("MRN_"&amp;A624))</f>
        <v>0</v>
      </c>
      <c r="M624" s="2">
        <f t="shared" si="99"/>
        <v>0</v>
      </c>
      <c r="N624" s="2" t="str">
        <f t="shared" si="100"/>
        <v>No</v>
      </c>
      <c r="O624" s="2" t="str">
        <f t="shared" si="101"/>
        <v>No</v>
      </c>
      <c r="P624" s="2" t="str" cm="1">
        <f t="array" aca="1" ref="P624" ca="1">IF(OR(INDIRECT("MRN_"&amp;A624)="N/A",B624=0),"No","Yes")</f>
        <v>No</v>
      </c>
    </row>
    <row r="625" spans="1:16" x14ac:dyDescent="0.2">
      <c r="A625" s="68">
        <v>18</v>
      </c>
      <c r="B625" s="349">
        <f>'Client 18'!S33</f>
        <v>0</v>
      </c>
      <c r="C625" s="2">
        <f>'Client 18'!T33</f>
        <v>0</v>
      </c>
      <c r="D625" s="2">
        <f>'Client 18'!U33</f>
        <v>0</v>
      </c>
      <c r="E625" s="2">
        <f>'Client 18'!V33</f>
        <v>0</v>
      </c>
      <c r="F625" s="350">
        <f>'Client 18'!W33</f>
        <v>0</v>
      </c>
      <c r="G625" s="2">
        <f>'Client 18'!X33</f>
        <v>0</v>
      </c>
      <c r="H625" s="2">
        <f>'Client 18'!Y33</f>
        <v>0</v>
      </c>
      <c r="I625" s="2">
        <f>'Client 18'!Z33</f>
        <v>0</v>
      </c>
      <c r="J625" s="2">
        <f>'Client 18'!AA33</f>
        <v>0</v>
      </c>
      <c r="K625" s="2">
        <f>'Client 18'!AB33</f>
        <v>0</v>
      </c>
      <c r="L625" s="2" cm="1">
        <f t="array" aca="1" ref="L625" ca="1">IF(B625=0,0,INDIRECT("MRN_"&amp;A625))</f>
        <v>0</v>
      </c>
      <c r="M625" s="2">
        <f t="shared" si="99"/>
        <v>0</v>
      </c>
      <c r="N625" s="2" t="str">
        <f t="shared" si="100"/>
        <v>No</v>
      </c>
      <c r="O625" s="2" t="str">
        <f t="shared" si="101"/>
        <v>No</v>
      </c>
      <c r="P625" s="2" t="str" cm="1">
        <f t="array" aca="1" ref="P625" ca="1">IF(OR(INDIRECT("MRN_"&amp;A625)="N/A",B625=0),"No","Yes")</f>
        <v>No</v>
      </c>
    </row>
    <row r="626" spans="1:16" x14ac:dyDescent="0.2">
      <c r="A626" s="68">
        <v>18</v>
      </c>
      <c r="B626" s="349">
        <f>'Client 18'!S34</f>
        <v>0</v>
      </c>
      <c r="C626" s="2">
        <f>'Client 18'!T34</f>
        <v>0</v>
      </c>
      <c r="D626" s="2">
        <f>'Client 18'!U34</f>
        <v>0</v>
      </c>
      <c r="E626" s="2">
        <f>'Client 18'!V34</f>
        <v>0</v>
      </c>
      <c r="F626" s="350">
        <f>'Client 18'!W34</f>
        <v>0</v>
      </c>
      <c r="G626" s="2">
        <f>'Client 18'!X34</f>
        <v>0</v>
      </c>
      <c r="H626" s="2">
        <f>'Client 18'!Y34</f>
        <v>0</v>
      </c>
      <c r="I626" s="2">
        <f>'Client 18'!Z34</f>
        <v>0</v>
      </c>
      <c r="J626" s="2">
        <f>'Client 18'!AA34</f>
        <v>0</v>
      </c>
      <c r="K626" s="2">
        <f>'Client 18'!AB34</f>
        <v>0</v>
      </c>
      <c r="L626" s="2" cm="1">
        <f t="array" aca="1" ref="L626" ca="1">IF(B626=0,0,INDIRECT("MRN_"&amp;A626))</f>
        <v>0</v>
      </c>
      <c r="M626" s="2">
        <f t="shared" si="99"/>
        <v>0</v>
      </c>
      <c r="N626" s="2" t="str">
        <f t="shared" si="100"/>
        <v>No</v>
      </c>
      <c r="O626" s="2" t="str">
        <f t="shared" si="101"/>
        <v>No</v>
      </c>
      <c r="P626" s="2" t="str" cm="1">
        <f t="array" aca="1" ref="P626" ca="1">IF(OR(INDIRECT("MRN_"&amp;A626)="N/A",B626=0),"No","Yes")</f>
        <v>No</v>
      </c>
    </row>
    <row r="627" spans="1:16" x14ac:dyDescent="0.2">
      <c r="A627" s="68">
        <v>18</v>
      </c>
      <c r="B627" s="349">
        <f>'Client 18'!S35</f>
        <v>0</v>
      </c>
      <c r="C627" s="2">
        <f>'Client 18'!T35</f>
        <v>0</v>
      </c>
      <c r="D627" s="2">
        <f>'Client 18'!U35</f>
        <v>0</v>
      </c>
      <c r="E627" s="2">
        <f>'Client 18'!V35</f>
        <v>0</v>
      </c>
      <c r="F627" s="350">
        <f>'Client 18'!W35</f>
        <v>0</v>
      </c>
      <c r="G627" s="2">
        <f>'Client 18'!X35</f>
        <v>0</v>
      </c>
      <c r="H627" s="2">
        <f>'Client 18'!Y35</f>
        <v>0</v>
      </c>
      <c r="I627" s="2">
        <f>'Client 18'!Z35</f>
        <v>0</v>
      </c>
      <c r="J627" s="2">
        <f>'Client 18'!AA35</f>
        <v>0</v>
      </c>
      <c r="K627" s="2">
        <f>'Client 18'!AB35</f>
        <v>0</v>
      </c>
      <c r="L627" s="2" cm="1">
        <f t="array" aca="1" ref="L627" ca="1">IF(B627=0,0,INDIRECT("MRN_"&amp;A627))</f>
        <v>0</v>
      </c>
      <c r="M627" s="2">
        <f t="shared" si="99"/>
        <v>0</v>
      </c>
      <c r="N627" s="2" t="str">
        <f t="shared" si="100"/>
        <v>No</v>
      </c>
      <c r="O627" s="2" t="str">
        <f t="shared" si="101"/>
        <v>No</v>
      </c>
      <c r="P627" s="2" t="str" cm="1">
        <f t="array" aca="1" ref="P627" ca="1">IF(OR(INDIRECT("MRN_"&amp;A627)="N/A",B627=0),"No","Yes")</f>
        <v>No</v>
      </c>
    </row>
    <row r="628" spans="1:16" x14ac:dyDescent="0.2">
      <c r="A628" s="68">
        <v>18</v>
      </c>
      <c r="B628" s="349">
        <f>'Client 18'!S36</f>
        <v>0</v>
      </c>
      <c r="C628" s="2">
        <f>'Client 18'!T36</f>
        <v>0</v>
      </c>
      <c r="D628" s="2">
        <f>'Client 18'!U36</f>
        <v>0</v>
      </c>
      <c r="E628" s="2">
        <f>'Client 18'!V36</f>
        <v>0</v>
      </c>
      <c r="F628" s="350">
        <f>'Client 18'!W36</f>
        <v>0</v>
      </c>
      <c r="G628" s="2">
        <f>'Client 18'!X36</f>
        <v>0</v>
      </c>
      <c r="H628" s="2">
        <f>'Client 18'!Y36</f>
        <v>0</v>
      </c>
      <c r="I628" s="2">
        <f>'Client 18'!Z36</f>
        <v>0</v>
      </c>
      <c r="J628" s="2">
        <f>'Client 18'!AA36</f>
        <v>0</v>
      </c>
      <c r="K628" s="2">
        <f>'Client 18'!AB36</f>
        <v>0</v>
      </c>
      <c r="L628" s="2" cm="1">
        <f t="array" aca="1" ref="L628" ca="1">IF(B628=0,0,INDIRECT("MRN_"&amp;A628))</f>
        <v>0</v>
      </c>
      <c r="M628" s="2">
        <f t="shared" si="99"/>
        <v>0</v>
      </c>
      <c r="N628" s="2" t="str">
        <f t="shared" si="100"/>
        <v>No</v>
      </c>
      <c r="O628" s="2" t="str">
        <f t="shared" si="101"/>
        <v>No</v>
      </c>
      <c r="P628" s="2" t="str" cm="1">
        <f t="array" aca="1" ref="P628" ca="1">IF(OR(INDIRECT("MRN_"&amp;A628)="N/A",B628=0),"No","Yes")</f>
        <v>No</v>
      </c>
    </row>
    <row r="629" spans="1:16" x14ac:dyDescent="0.2">
      <c r="A629" s="68">
        <v>18</v>
      </c>
      <c r="B629" s="349">
        <f>'Client 18'!S37</f>
        <v>0</v>
      </c>
      <c r="C629" s="2">
        <f>'Client 18'!T37</f>
        <v>0</v>
      </c>
      <c r="D629" s="2">
        <f>'Client 18'!U37</f>
        <v>0</v>
      </c>
      <c r="E629" s="2">
        <f>'Client 18'!V37</f>
        <v>0</v>
      </c>
      <c r="F629" s="350">
        <f>'Client 18'!W37</f>
        <v>0</v>
      </c>
      <c r="G629" s="2">
        <f>'Client 18'!X37</f>
        <v>0</v>
      </c>
      <c r="H629" s="2">
        <f>'Client 18'!Y37</f>
        <v>0</v>
      </c>
      <c r="I629" s="2">
        <f>'Client 18'!Z37</f>
        <v>0</v>
      </c>
      <c r="J629" s="2">
        <f>'Client 18'!AA37</f>
        <v>0</v>
      </c>
      <c r="K629" s="2">
        <f>'Client 18'!AB37</f>
        <v>0</v>
      </c>
      <c r="L629" s="2" cm="1">
        <f t="array" aca="1" ref="L629" ca="1">IF(B629=0,0,INDIRECT("MRN_"&amp;A629))</f>
        <v>0</v>
      </c>
      <c r="M629" s="2">
        <f t="shared" si="99"/>
        <v>0</v>
      </c>
      <c r="N629" s="2" t="str">
        <f t="shared" si="100"/>
        <v>No</v>
      </c>
      <c r="O629" s="2" t="str">
        <f t="shared" si="101"/>
        <v>No</v>
      </c>
      <c r="P629" s="2" t="str" cm="1">
        <f t="array" aca="1" ref="P629" ca="1">IF(OR(INDIRECT("MRN_"&amp;A629)="N/A",B629=0),"No","Yes")</f>
        <v>No</v>
      </c>
    </row>
    <row r="630" spans="1:16" x14ac:dyDescent="0.2">
      <c r="A630" s="68">
        <v>18</v>
      </c>
      <c r="B630" s="349">
        <f>'Client 18'!S38</f>
        <v>0</v>
      </c>
      <c r="C630" s="2">
        <f>'Client 18'!T38</f>
        <v>0</v>
      </c>
      <c r="D630" s="2">
        <f>'Client 18'!U38</f>
        <v>0</v>
      </c>
      <c r="E630" s="2">
        <f>'Client 18'!V38</f>
        <v>0</v>
      </c>
      <c r="F630" s="350">
        <f>'Client 18'!W38</f>
        <v>0</v>
      </c>
      <c r="G630" s="2">
        <f>'Client 18'!X38</f>
        <v>0</v>
      </c>
      <c r="H630" s="2">
        <f>'Client 18'!Y38</f>
        <v>0</v>
      </c>
      <c r="I630" s="2">
        <f>'Client 18'!Z38</f>
        <v>0</v>
      </c>
      <c r="J630" s="2">
        <f>'Client 18'!AA38</f>
        <v>0</v>
      </c>
      <c r="K630" s="2">
        <f>'Client 18'!AB38</f>
        <v>0</v>
      </c>
      <c r="L630" s="2" cm="1">
        <f t="array" aca="1" ref="L630" ca="1">IF(B630=0,0,INDIRECT("MRN_"&amp;A630))</f>
        <v>0</v>
      </c>
      <c r="M630" s="2">
        <f t="shared" si="99"/>
        <v>0</v>
      </c>
      <c r="N630" s="2" t="str">
        <f t="shared" si="100"/>
        <v>No</v>
      </c>
      <c r="O630" s="2" t="str">
        <f t="shared" si="101"/>
        <v>No</v>
      </c>
      <c r="P630" s="2" t="str" cm="1">
        <f t="array" aca="1" ref="P630" ca="1">IF(OR(INDIRECT("MRN_"&amp;A630)="N/A",B630=0),"No","Yes")</f>
        <v>No</v>
      </c>
    </row>
    <row r="631" spans="1:16" x14ac:dyDescent="0.2">
      <c r="A631" s="68">
        <v>19</v>
      </c>
      <c r="B631" s="349">
        <f>'Client 19'!S9</f>
        <v>0</v>
      </c>
      <c r="C631" s="2">
        <f>'Client 19'!T9</f>
        <v>0</v>
      </c>
      <c r="D631" s="2">
        <f>'Client 19'!U9</f>
        <v>0</v>
      </c>
      <c r="E631" s="2">
        <f>'Client 19'!V9</f>
        <v>0</v>
      </c>
      <c r="F631" s="350">
        <f>'Client 19'!W9</f>
        <v>0</v>
      </c>
      <c r="G631" s="2">
        <f>'Client 19'!X9</f>
        <v>0</v>
      </c>
      <c r="H631" s="2">
        <f>'Client 19'!Y9</f>
        <v>0</v>
      </c>
      <c r="I631" s="2">
        <f>'Client 19'!Z9</f>
        <v>0</v>
      </c>
      <c r="J631" s="2">
        <f>'Client 19'!AA9</f>
        <v>0</v>
      </c>
      <c r="K631" s="2">
        <f>'Client 19'!AB9</f>
        <v>0</v>
      </c>
      <c r="L631" s="2" cm="1">
        <f t="array" aca="1" ref="L631" ca="1">IF(B631=0,0,INDIRECT("MRN_"&amp;A631))</f>
        <v>0</v>
      </c>
      <c r="M631" s="2">
        <f t="shared" si="99"/>
        <v>0</v>
      </c>
      <c r="N631" s="2" t="str">
        <f t="shared" si="100"/>
        <v>No</v>
      </c>
      <c r="O631" s="2" t="str">
        <f t="shared" si="101"/>
        <v>No</v>
      </c>
      <c r="P631" s="2" t="str" cm="1">
        <f t="array" aca="1" ref="P631" ca="1">IF(OR(INDIRECT("MRN_"&amp;A631)="N/A",B631=0),"No","Yes")</f>
        <v>No</v>
      </c>
    </row>
    <row r="632" spans="1:16" x14ac:dyDescent="0.2">
      <c r="A632" s="68">
        <v>19</v>
      </c>
      <c r="B632" s="349">
        <f>'Client 19'!S10</f>
        <v>0</v>
      </c>
      <c r="C632" s="2">
        <f>'Client 19'!T10</f>
        <v>0</v>
      </c>
      <c r="D632" s="2">
        <f>'Client 19'!U10</f>
        <v>0</v>
      </c>
      <c r="E632" s="2">
        <f>'Client 19'!V10</f>
        <v>0</v>
      </c>
      <c r="F632" s="350">
        <f>'Client 19'!W10</f>
        <v>0</v>
      </c>
      <c r="G632" s="2">
        <f>'Client 19'!X10</f>
        <v>0</v>
      </c>
      <c r="H632" s="2">
        <f>'Client 19'!Y10</f>
        <v>0</v>
      </c>
      <c r="I632" s="2">
        <f>'Client 19'!Z10</f>
        <v>0</v>
      </c>
      <c r="J632" s="2">
        <f>'Client 19'!AA10</f>
        <v>0</v>
      </c>
      <c r="K632" s="2">
        <f>'Client 19'!AB10</f>
        <v>0</v>
      </c>
      <c r="L632" s="2" cm="1">
        <f t="array" aca="1" ref="L632" ca="1">IF(B632=0,0,INDIRECT("MRN_"&amp;A632))</f>
        <v>0</v>
      </c>
      <c r="M632" s="2">
        <f t="shared" si="99"/>
        <v>0</v>
      </c>
      <c r="N632" s="2" t="str">
        <f t="shared" si="100"/>
        <v>No</v>
      </c>
      <c r="O632" s="2" t="str">
        <f t="shared" si="101"/>
        <v>No</v>
      </c>
      <c r="P632" s="2" t="str" cm="1">
        <f t="array" aca="1" ref="P632" ca="1">IF(OR(INDIRECT("MRN_"&amp;A632)="N/A",B632=0),"No","Yes")</f>
        <v>No</v>
      </c>
    </row>
    <row r="633" spans="1:16" x14ac:dyDescent="0.2">
      <c r="A633" s="68">
        <v>19</v>
      </c>
      <c r="B633" s="349">
        <f>'Client 19'!S11</f>
        <v>0</v>
      </c>
      <c r="C633" s="2">
        <f>'Client 19'!T11</f>
        <v>0</v>
      </c>
      <c r="D633" s="2">
        <f>'Client 19'!U11</f>
        <v>0</v>
      </c>
      <c r="E633" s="2">
        <f>'Client 19'!V11</f>
        <v>0</v>
      </c>
      <c r="F633" s="350">
        <f>'Client 19'!W11</f>
        <v>0</v>
      </c>
      <c r="G633" s="2">
        <f>'Client 19'!X11</f>
        <v>0</v>
      </c>
      <c r="H633" s="2">
        <f>'Client 19'!Y11</f>
        <v>0</v>
      </c>
      <c r="I633" s="2">
        <f>'Client 19'!Z11</f>
        <v>0</v>
      </c>
      <c r="J633" s="2">
        <f>'Client 19'!AA11</f>
        <v>0</v>
      </c>
      <c r="K633" s="2">
        <f>'Client 19'!AB11</f>
        <v>0</v>
      </c>
      <c r="L633" s="2" cm="1">
        <f t="array" aca="1" ref="L633" ca="1">IF(B633=0,0,INDIRECT("MRN_"&amp;A633))</f>
        <v>0</v>
      </c>
      <c r="M633" s="2">
        <f t="shared" si="99"/>
        <v>0</v>
      </c>
      <c r="N633" s="2" t="str">
        <f t="shared" si="100"/>
        <v>No</v>
      </c>
      <c r="O633" s="2" t="str">
        <f t="shared" si="101"/>
        <v>No</v>
      </c>
      <c r="P633" s="2" t="str" cm="1">
        <f t="array" aca="1" ref="P633" ca="1">IF(OR(INDIRECT("MRN_"&amp;A633)="N/A",B633=0),"No","Yes")</f>
        <v>No</v>
      </c>
    </row>
    <row r="634" spans="1:16" x14ac:dyDescent="0.2">
      <c r="A634" s="68">
        <v>19</v>
      </c>
      <c r="B634" s="349">
        <f>'Client 19'!S12</f>
        <v>0</v>
      </c>
      <c r="C634" s="2">
        <f>'Client 19'!T12</f>
        <v>0</v>
      </c>
      <c r="D634" s="2">
        <f>'Client 19'!U12</f>
        <v>0</v>
      </c>
      <c r="E634" s="2">
        <f>'Client 19'!V12</f>
        <v>0</v>
      </c>
      <c r="F634" s="350">
        <f>'Client 19'!W12</f>
        <v>0</v>
      </c>
      <c r="G634" s="2">
        <f>'Client 19'!X12</f>
        <v>0</v>
      </c>
      <c r="H634" s="2">
        <f>'Client 19'!Y12</f>
        <v>0</v>
      </c>
      <c r="I634" s="2">
        <f>'Client 19'!Z12</f>
        <v>0</v>
      </c>
      <c r="J634" s="2">
        <f>'Client 19'!AA12</f>
        <v>0</v>
      </c>
      <c r="K634" s="2">
        <f>'Client 19'!AB12</f>
        <v>0</v>
      </c>
      <c r="L634" s="2" cm="1">
        <f t="array" aca="1" ref="L634" ca="1">IF(B634=0,0,INDIRECT("MRN_"&amp;A634))</f>
        <v>0</v>
      </c>
      <c r="M634" s="2">
        <f t="shared" si="99"/>
        <v>0</v>
      </c>
      <c r="N634" s="2" t="str">
        <f t="shared" si="100"/>
        <v>No</v>
      </c>
      <c r="O634" s="2" t="str">
        <f t="shared" si="101"/>
        <v>No</v>
      </c>
      <c r="P634" s="2" t="str" cm="1">
        <f t="array" aca="1" ref="P634" ca="1">IF(OR(INDIRECT("MRN_"&amp;A634)="N/A",B634=0),"No","Yes")</f>
        <v>No</v>
      </c>
    </row>
    <row r="635" spans="1:16" x14ac:dyDescent="0.2">
      <c r="A635" s="68">
        <v>19</v>
      </c>
      <c r="B635" s="349">
        <f>'Client 19'!S13</f>
        <v>0</v>
      </c>
      <c r="C635" s="2">
        <f>'Client 19'!T13</f>
        <v>0</v>
      </c>
      <c r="D635" s="2">
        <f>'Client 19'!U13</f>
        <v>0</v>
      </c>
      <c r="E635" s="2">
        <f>'Client 19'!V13</f>
        <v>0</v>
      </c>
      <c r="F635" s="350">
        <f>'Client 19'!W13</f>
        <v>0</v>
      </c>
      <c r="G635" s="2">
        <f>'Client 19'!X13</f>
        <v>0</v>
      </c>
      <c r="H635" s="2">
        <f>'Client 19'!Y13</f>
        <v>0</v>
      </c>
      <c r="I635" s="2">
        <f>'Client 19'!Z13</f>
        <v>0</v>
      </c>
      <c r="J635" s="2">
        <f>'Client 19'!AA13</f>
        <v>0</v>
      </c>
      <c r="K635" s="2">
        <f>'Client 19'!AB13</f>
        <v>0</v>
      </c>
      <c r="L635" s="2" cm="1">
        <f t="array" aca="1" ref="L635" ca="1">IF(B635=0,0,INDIRECT("MRN_"&amp;A635))</f>
        <v>0</v>
      </c>
      <c r="M635" s="2">
        <f t="shared" si="99"/>
        <v>0</v>
      </c>
      <c r="N635" s="2" t="str">
        <f t="shared" si="100"/>
        <v>No</v>
      </c>
      <c r="O635" s="2" t="str">
        <f t="shared" si="101"/>
        <v>No</v>
      </c>
      <c r="P635" s="2" t="str" cm="1">
        <f t="array" aca="1" ref="P635" ca="1">IF(OR(INDIRECT("MRN_"&amp;A635)="N/A",B635=0),"No","Yes")</f>
        <v>No</v>
      </c>
    </row>
    <row r="636" spans="1:16" x14ac:dyDescent="0.2">
      <c r="A636" s="68">
        <v>19</v>
      </c>
      <c r="B636" s="349">
        <f>'Client 19'!S14</f>
        <v>0</v>
      </c>
      <c r="C636" s="2">
        <f>'Client 19'!T14</f>
        <v>0</v>
      </c>
      <c r="D636" s="2">
        <f>'Client 19'!U14</f>
        <v>0</v>
      </c>
      <c r="E636" s="2">
        <f>'Client 19'!V14</f>
        <v>0</v>
      </c>
      <c r="F636" s="350">
        <f>'Client 19'!W14</f>
        <v>0</v>
      </c>
      <c r="G636" s="2">
        <f>'Client 19'!X14</f>
        <v>0</v>
      </c>
      <c r="H636" s="2">
        <f>'Client 19'!Y14</f>
        <v>0</v>
      </c>
      <c r="I636" s="2">
        <f>'Client 19'!Z14</f>
        <v>0</v>
      </c>
      <c r="J636" s="2">
        <f>'Client 19'!AA14</f>
        <v>0</v>
      </c>
      <c r="K636" s="2">
        <f>'Client 19'!AB14</f>
        <v>0</v>
      </c>
      <c r="L636" s="2" cm="1">
        <f t="array" aca="1" ref="L636" ca="1">IF(B636=0,0,INDIRECT("MRN_"&amp;A636))</f>
        <v>0</v>
      </c>
      <c r="M636" s="2">
        <f t="shared" si="99"/>
        <v>0</v>
      </c>
      <c r="N636" s="2" t="str">
        <f t="shared" si="100"/>
        <v>No</v>
      </c>
      <c r="O636" s="2" t="str">
        <f t="shared" si="101"/>
        <v>No</v>
      </c>
      <c r="P636" s="2" t="str" cm="1">
        <f t="array" aca="1" ref="P636" ca="1">IF(OR(INDIRECT("MRN_"&amp;A636)="N/A",B636=0),"No","Yes")</f>
        <v>No</v>
      </c>
    </row>
    <row r="637" spans="1:16" x14ac:dyDescent="0.2">
      <c r="A637" s="68">
        <v>19</v>
      </c>
      <c r="B637" s="349">
        <f>'Client 19'!S15</f>
        <v>0</v>
      </c>
      <c r="C637" s="2">
        <f>'Client 19'!T15</f>
        <v>0</v>
      </c>
      <c r="D637" s="2">
        <f>'Client 19'!U15</f>
        <v>0</v>
      </c>
      <c r="E637" s="2">
        <f>'Client 19'!V15</f>
        <v>0</v>
      </c>
      <c r="F637" s="350">
        <f>'Client 19'!W15</f>
        <v>0</v>
      </c>
      <c r="G637" s="2">
        <f>'Client 19'!X15</f>
        <v>0</v>
      </c>
      <c r="H637" s="2">
        <f>'Client 19'!Y15</f>
        <v>0</v>
      </c>
      <c r="I637" s="2">
        <f>'Client 19'!Z15</f>
        <v>0</v>
      </c>
      <c r="J637" s="2">
        <f>'Client 19'!AA15</f>
        <v>0</v>
      </c>
      <c r="K637" s="2">
        <f>'Client 19'!AB15</f>
        <v>0</v>
      </c>
      <c r="L637" s="2" cm="1">
        <f t="array" aca="1" ref="L637" ca="1">IF(B637=0,0,INDIRECT("MRN_"&amp;A637))</f>
        <v>0</v>
      </c>
      <c r="M637" s="2">
        <f t="shared" si="99"/>
        <v>0</v>
      </c>
      <c r="N637" s="2" t="str">
        <f t="shared" si="100"/>
        <v>No</v>
      </c>
      <c r="O637" s="2" t="str">
        <f t="shared" si="101"/>
        <v>No</v>
      </c>
      <c r="P637" s="2" t="str" cm="1">
        <f t="array" aca="1" ref="P637" ca="1">IF(OR(INDIRECT("MRN_"&amp;A637)="N/A",B637=0),"No","Yes")</f>
        <v>No</v>
      </c>
    </row>
    <row r="638" spans="1:16" x14ac:dyDescent="0.2">
      <c r="A638" s="68">
        <v>19</v>
      </c>
      <c r="B638" s="349">
        <f>'Client 19'!S16</f>
        <v>0</v>
      </c>
      <c r="C638" s="2">
        <f>'Client 19'!T16</f>
        <v>0</v>
      </c>
      <c r="D638" s="2">
        <f>'Client 19'!U16</f>
        <v>0</v>
      </c>
      <c r="E638" s="2">
        <f>'Client 19'!V16</f>
        <v>0</v>
      </c>
      <c r="F638" s="350">
        <f>'Client 19'!W16</f>
        <v>0</v>
      </c>
      <c r="G638" s="2">
        <f>'Client 19'!X16</f>
        <v>0</v>
      </c>
      <c r="H638" s="2">
        <f>'Client 19'!Y16</f>
        <v>0</v>
      </c>
      <c r="I638" s="2">
        <f>'Client 19'!Z16</f>
        <v>0</v>
      </c>
      <c r="J638" s="2">
        <f>'Client 19'!AA16</f>
        <v>0</v>
      </c>
      <c r="K638" s="2">
        <f>'Client 19'!AB16</f>
        <v>0</v>
      </c>
      <c r="L638" s="2" cm="1">
        <f t="array" aca="1" ref="L638" ca="1">IF(B638=0,0,INDIRECT("MRN_"&amp;A638))</f>
        <v>0</v>
      </c>
      <c r="M638" s="2">
        <f t="shared" si="99"/>
        <v>0</v>
      </c>
      <c r="N638" s="2" t="str">
        <f t="shared" si="100"/>
        <v>No</v>
      </c>
      <c r="O638" s="2" t="str">
        <f t="shared" si="101"/>
        <v>No</v>
      </c>
      <c r="P638" s="2" t="str" cm="1">
        <f t="array" aca="1" ref="P638" ca="1">IF(OR(INDIRECT("MRN_"&amp;A638)="N/A",B638=0),"No","Yes")</f>
        <v>No</v>
      </c>
    </row>
    <row r="639" spans="1:16" x14ac:dyDescent="0.2">
      <c r="A639" s="68">
        <v>19</v>
      </c>
      <c r="B639" s="349">
        <f>'Client 19'!S17</f>
        <v>0</v>
      </c>
      <c r="C639" s="2">
        <f>'Client 19'!T17</f>
        <v>0</v>
      </c>
      <c r="D639" s="2">
        <f>'Client 19'!U17</f>
        <v>0</v>
      </c>
      <c r="E639" s="2">
        <f>'Client 19'!V17</f>
        <v>0</v>
      </c>
      <c r="F639" s="350">
        <f>'Client 19'!W17</f>
        <v>0</v>
      </c>
      <c r="G639" s="2">
        <f>'Client 19'!X17</f>
        <v>0</v>
      </c>
      <c r="H639" s="2">
        <f>'Client 19'!Y17</f>
        <v>0</v>
      </c>
      <c r="I639" s="2">
        <f>'Client 19'!Z17</f>
        <v>0</v>
      </c>
      <c r="J639" s="2">
        <f>'Client 19'!AA17</f>
        <v>0</v>
      </c>
      <c r="K639" s="2">
        <f>'Client 19'!AB17</f>
        <v>0</v>
      </c>
      <c r="L639" s="2" cm="1">
        <f t="array" aca="1" ref="L639" ca="1">IF(B639=0,0,INDIRECT("MRN_"&amp;A639))</f>
        <v>0</v>
      </c>
      <c r="M639" s="2">
        <f t="shared" si="99"/>
        <v>0</v>
      </c>
      <c r="N639" s="2" t="str">
        <f t="shared" si="100"/>
        <v>No</v>
      </c>
      <c r="O639" s="2" t="str">
        <f t="shared" si="101"/>
        <v>No</v>
      </c>
      <c r="P639" s="2" t="str" cm="1">
        <f t="array" aca="1" ref="P639" ca="1">IF(OR(INDIRECT("MRN_"&amp;A639)="N/A",B639=0),"No","Yes")</f>
        <v>No</v>
      </c>
    </row>
    <row r="640" spans="1:16" x14ac:dyDescent="0.2">
      <c r="A640" s="68">
        <v>19</v>
      </c>
      <c r="B640" s="349">
        <f>'Client 19'!S18</f>
        <v>0</v>
      </c>
      <c r="C640" s="2">
        <f>'Client 19'!T18</f>
        <v>0</v>
      </c>
      <c r="D640" s="2">
        <f>'Client 19'!U18</f>
        <v>0</v>
      </c>
      <c r="E640" s="2">
        <f>'Client 19'!V18</f>
        <v>0</v>
      </c>
      <c r="F640" s="350">
        <f>'Client 19'!W18</f>
        <v>0</v>
      </c>
      <c r="G640" s="2">
        <f>'Client 19'!X18</f>
        <v>0</v>
      </c>
      <c r="H640" s="2">
        <f>'Client 19'!Y18</f>
        <v>0</v>
      </c>
      <c r="I640" s="2">
        <f>'Client 19'!Z18</f>
        <v>0</v>
      </c>
      <c r="J640" s="2">
        <f>'Client 19'!AA18</f>
        <v>0</v>
      </c>
      <c r="K640" s="2">
        <f>'Client 19'!AB18</f>
        <v>0</v>
      </c>
      <c r="L640" s="2" cm="1">
        <f t="array" aca="1" ref="L640" ca="1">IF(B640=0,0,INDIRECT("MRN_"&amp;A640))</f>
        <v>0</v>
      </c>
      <c r="M640" s="2">
        <f t="shared" si="99"/>
        <v>0</v>
      </c>
      <c r="N640" s="2" t="str">
        <f t="shared" si="100"/>
        <v>No</v>
      </c>
      <c r="O640" s="2" t="str">
        <f t="shared" si="101"/>
        <v>No</v>
      </c>
      <c r="P640" s="2" t="str" cm="1">
        <f t="array" aca="1" ref="P640" ca="1">IF(OR(INDIRECT("MRN_"&amp;A640)="N/A",B640=0),"No","Yes")</f>
        <v>No</v>
      </c>
    </row>
    <row r="641" spans="1:16" x14ac:dyDescent="0.2">
      <c r="A641" s="68">
        <v>19</v>
      </c>
      <c r="B641" s="349">
        <f>'Client 19'!S19</f>
        <v>0</v>
      </c>
      <c r="C641" s="2">
        <f>'Client 19'!T19</f>
        <v>0</v>
      </c>
      <c r="D641" s="2">
        <f>'Client 19'!U19</f>
        <v>0</v>
      </c>
      <c r="E641" s="2">
        <f>'Client 19'!V19</f>
        <v>0</v>
      </c>
      <c r="F641" s="350">
        <f>'Client 19'!W19</f>
        <v>0</v>
      </c>
      <c r="G641" s="2">
        <f>'Client 19'!X19</f>
        <v>0</v>
      </c>
      <c r="H641" s="2">
        <f>'Client 19'!Y19</f>
        <v>0</v>
      </c>
      <c r="I641" s="2">
        <f>'Client 19'!Z19</f>
        <v>0</v>
      </c>
      <c r="J641" s="2">
        <f>'Client 19'!AA19</f>
        <v>0</v>
      </c>
      <c r="K641" s="2">
        <f>'Client 19'!AB19</f>
        <v>0</v>
      </c>
      <c r="L641" s="2" cm="1">
        <f t="array" aca="1" ref="L641" ca="1">IF(B641=0,0,INDIRECT("MRN_"&amp;A641))</f>
        <v>0</v>
      </c>
      <c r="M641" s="2">
        <f t="shared" si="99"/>
        <v>0</v>
      </c>
      <c r="N641" s="2" t="str">
        <f t="shared" si="100"/>
        <v>No</v>
      </c>
      <c r="O641" s="2" t="str">
        <f t="shared" si="101"/>
        <v>No</v>
      </c>
      <c r="P641" s="2" t="str" cm="1">
        <f t="array" aca="1" ref="P641" ca="1">IF(OR(INDIRECT("MRN_"&amp;A641)="N/A",B641=0),"No","Yes")</f>
        <v>No</v>
      </c>
    </row>
    <row r="642" spans="1:16" x14ac:dyDescent="0.2">
      <c r="A642" s="68">
        <v>19</v>
      </c>
      <c r="B642" s="349">
        <f>'Client 19'!S20</f>
        <v>0</v>
      </c>
      <c r="C642" s="2">
        <f>'Client 19'!T20</f>
        <v>0</v>
      </c>
      <c r="D642" s="2">
        <f>'Client 19'!U20</f>
        <v>0</v>
      </c>
      <c r="E642" s="2">
        <f>'Client 19'!V20</f>
        <v>0</v>
      </c>
      <c r="F642" s="350">
        <f>'Client 19'!W20</f>
        <v>0</v>
      </c>
      <c r="G642" s="2">
        <f>'Client 19'!X20</f>
        <v>0</v>
      </c>
      <c r="H642" s="2">
        <f>'Client 19'!Y20</f>
        <v>0</v>
      </c>
      <c r="I642" s="2">
        <f>'Client 19'!Z20</f>
        <v>0</v>
      </c>
      <c r="J642" s="2">
        <f>'Client 19'!AA20</f>
        <v>0</v>
      </c>
      <c r="K642" s="2">
        <f>'Client 19'!AB20</f>
        <v>0</v>
      </c>
      <c r="L642" s="2" cm="1">
        <f t="array" aca="1" ref="L642" ca="1">IF(B642=0,0,INDIRECT("MRN_"&amp;A642))</f>
        <v>0</v>
      </c>
      <c r="M642" s="2">
        <f t="shared" si="99"/>
        <v>0</v>
      </c>
      <c r="N642" s="2" t="str">
        <f t="shared" si="100"/>
        <v>No</v>
      </c>
      <c r="O642" s="2" t="str">
        <f t="shared" si="101"/>
        <v>No</v>
      </c>
      <c r="P642" s="2" t="str" cm="1">
        <f t="array" aca="1" ref="P642" ca="1">IF(OR(INDIRECT("MRN_"&amp;A642)="N/A",B642=0),"No","Yes")</f>
        <v>No</v>
      </c>
    </row>
    <row r="643" spans="1:16" x14ac:dyDescent="0.2">
      <c r="A643" s="68">
        <v>19</v>
      </c>
      <c r="B643" s="349">
        <f>'Client 19'!S21</f>
        <v>0</v>
      </c>
      <c r="C643" s="2">
        <f>'Client 19'!T21</f>
        <v>0</v>
      </c>
      <c r="D643" s="2">
        <f>'Client 19'!U21</f>
        <v>0</v>
      </c>
      <c r="E643" s="2">
        <f>'Client 19'!V21</f>
        <v>0</v>
      </c>
      <c r="F643" s="350">
        <f>'Client 19'!W21</f>
        <v>0</v>
      </c>
      <c r="G643" s="2">
        <f>'Client 19'!X21</f>
        <v>0</v>
      </c>
      <c r="H643" s="2">
        <f>'Client 19'!Y21</f>
        <v>0</v>
      </c>
      <c r="I643" s="2">
        <f>'Client 19'!Z21</f>
        <v>0</v>
      </c>
      <c r="J643" s="2">
        <f>'Client 19'!AA21</f>
        <v>0</v>
      </c>
      <c r="K643" s="2">
        <f>'Client 19'!AB21</f>
        <v>0</v>
      </c>
      <c r="L643" s="2" cm="1">
        <f t="array" aca="1" ref="L643" ca="1">IF(B643=0,0,INDIRECT("MRN_"&amp;A643))</f>
        <v>0</v>
      </c>
      <c r="M643" s="2">
        <f t="shared" si="99"/>
        <v>0</v>
      </c>
      <c r="N643" s="2" t="str">
        <f t="shared" si="100"/>
        <v>No</v>
      </c>
      <c r="O643" s="2" t="str">
        <f t="shared" si="101"/>
        <v>No</v>
      </c>
      <c r="P643" s="2" t="str" cm="1">
        <f t="array" aca="1" ref="P643" ca="1">IF(OR(INDIRECT("MRN_"&amp;A643)="N/A",B643=0),"No","Yes")</f>
        <v>No</v>
      </c>
    </row>
    <row r="644" spans="1:16" x14ac:dyDescent="0.2">
      <c r="A644" s="68">
        <v>19</v>
      </c>
      <c r="B644" s="349">
        <f>'Client 19'!S22</f>
        <v>0</v>
      </c>
      <c r="C644" s="2">
        <f>'Client 19'!T22</f>
        <v>0</v>
      </c>
      <c r="D644" s="2">
        <f>'Client 19'!U22</f>
        <v>0</v>
      </c>
      <c r="E644" s="2">
        <f>'Client 19'!V22</f>
        <v>0</v>
      </c>
      <c r="F644" s="350">
        <f>'Client 19'!W22</f>
        <v>0</v>
      </c>
      <c r="G644" s="2">
        <f>'Client 19'!X22</f>
        <v>0</v>
      </c>
      <c r="H644" s="2">
        <f>'Client 19'!Y22</f>
        <v>0</v>
      </c>
      <c r="I644" s="2">
        <f>'Client 19'!Z22</f>
        <v>0</v>
      </c>
      <c r="J644" s="2">
        <f>'Client 19'!AA22</f>
        <v>0</v>
      </c>
      <c r="K644" s="2">
        <f>'Client 19'!AB22</f>
        <v>0</v>
      </c>
      <c r="L644" s="2" cm="1">
        <f t="array" aca="1" ref="L644" ca="1">IF(B644=0,0,INDIRECT("MRN_"&amp;A644))</f>
        <v>0</v>
      </c>
      <c r="M644" s="2">
        <f t="shared" si="99"/>
        <v>0</v>
      </c>
      <c r="N644" s="2" t="str">
        <f t="shared" si="100"/>
        <v>No</v>
      </c>
      <c r="O644" s="2" t="str">
        <f t="shared" si="101"/>
        <v>No</v>
      </c>
      <c r="P644" s="2" t="str" cm="1">
        <f t="array" aca="1" ref="P644" ca="1">IF(OR(INDIRECT("MRN_"&amp;A644)="N/A",B644=0),"No","Yes")</f>
        <v>No</v>
      </c>
    </row>
    <row r="645" spans="1:16" x14ac:dyDescent="0.2">
      <c r="A645" s="68">
        <v>19</v>
      </c>
      <c r="B645" s="349">
        <f>'Client 19'!S23</f>
        <v>0</v>
      </c>
      <c r="C645" s="2">
        <f>'Client 19'!T23</f>
        <v>0</v>
      </c>
      <c r="D645" s="2">
        <f>'Client 19'!U23</f>
        <v>0</v>
      </c>
      <c r="E645" s="2">
        <f>'Client 19'!V23</f>
        <v>0</v>
      </c>
      <c r="F645" s="350">
        <f>'Client 19'!W23</f>
        <v>0</v>
      </c>
      <c r="G645" s="2">
        <f>'Client 19'!X23</f>
        <v>0</v>
      </c>
      <c r="H645" s="2">
        <f>'Client 19'!Y23</f>
        <v>0</v>
      </c>
      <c r="I645" s="2">
        <f>'Client 19'!Z23</f>
        <v>0</v>
      </c>
      <c r="J645" s="2">
        <f>'Client 19'!AA23</f>
        <v>0</v>
      </c>
      <c r="K645" s="2">
        <f>'Client 19'!AB23</f>
        <v>0</v>
      </c>
      <c r="L645" s="2" cm="1">
        <f t="array" aca="1" ref="L645" ca="1">IF(B645=0,0,INDIRECT("MRN_"&amp;A645))</f>
        <v>0</v>
      </c>
      <c r="M645" s="2">
        <f t="shared" si="99"/>
        <v>0</v>
      </c>
      <c r="N645" s="2" t="str">
        <f t="shared" si="100"/>
        <v>No</v>
      </c>
      <c r="O645" s="2" t="str">
        <f t="shared" si="101"/>
        <v>No</v>
      </c>
      <c r="P645" s="2" t="str" cm="1">
        <f t="array" aca="1" ref="P645" ca="1">IF(OR(INDIRECT("MRN_"&amp;A645)="N/A",B645=0),"No","Yes")</f>
        <v>No</v>
      </c>
    </row>
    <row r="646" spans="1:16" x14ac:dyDescent="0.2">
      <c r="A646" s="68">
        <v>19</v>
      </c>
      <c r="B646" s="349">
        <f>'Client 19'!S24</f>
        <v>0</v>
      </c>
      <c r="C646" s="2">
        <f>'Client 19'!T24</f>
        <v>0</v>
      </c>
      <c r="D646" s="2">
        <f>'Client 19'!U24</f>
        <v>0</v>
      </c>
      <c r="E646" s="2">
        <f>'Client 19'!V24</f>
        <v>0</v>
      </c>
      <c r="F646" s="350">
        <f>'Client 19'!W24</f>
        <v>0</v>
      </c>
      <c r="G646" s="2">
        <f>'Client 19'!X24</f>
        <v>0</v>
      </c>
      <c r="H646" s="2">
        <f>'Client 19'!Y24</f>
        <v>0</v>
      </c>
      <c r="I646" s="2">
        <f>'Client 19'!Z24</f>
        <v>0</v>
      </c>
      <c r="J646" s="2">
        <f>'Client 19'!AA24</f>
        <v>0</v>
      </c>
      <c r="K646" s="2">
        <f>'Client 19'!AB24</f>
        <v>0</v>
      </c>
      <c r="L646" s="2" cm="1">
        <f t="array" aca="1" ref="L646" ca="1">IF(B646=0,0,INDIRECT("MRN_"&amp;A646))</f>
        <v>0</v>
      </c>
      <c r="M646" s="2">
        <f t="shared" si="99"/>
        <v>0</v>
      </c>
      <c r="N646" s="2" t="str">
        <f t="shared" si="100"/>
        <v>No</v>
      </c>
      <c r="O646" s="2" t="str">
        <f t="shared" si="101"/>
        <v>No</v>
      </c>
      <c r="P646" s="2" t="str" cm="1">
        <f t="array" aca="1" ref="P646" ca="1">IF(OR(INDIRECT("MRN_"&amp;A646)="N/A",B646=0),"No","Yes")</f>
        <v>No</v>
      </c>
    </row>
    <row r="647" spans="1:16" x14ac:dyDescent="0.2">
      <c r="A647" s="68">
        <v>19</v>
      </c>
      <c r="B647" s="349">
        <f>'Client 19'!S25</f>
        <v>0</v>
      </c>
      <c r="C647" s="2">
        <f>'Client 19'!T25</f>
        <v>0</v>
      </c>
      <c r="D647" s="2">
        <f>'Client 19'!U25</f>
        <v>0</v>
      </c>
      <c r="E647" s="2">
        <f>'Client 19'!V25</f>
        <v>0</v>
      </c>
      <c r="F647" s="350">
        <f>'Client 19'!W25</f>
        <v>0</v>
      </c>
      <c r="G647" s="2">
        <f>'Client 19'!X25</f>
        <v>0</v>
      </c>
      <c r="H647" s="2">
        <f>'Client 19'!Y25</f>
        <v>0</v>
      </c>
      <c r="I647" s="2">
        <f>'Client 19'!Z25</f>
        <v>0</v>
      </c>
      <c r="J647" s="2">
        <f>'Client 19'!AA25</f>
        <v>0</v>
      </c>
      <c r="K647" s="2">
        <f>'Client 19'!AB25</f>
        <v>0</v>
      </c>
      <c r="L647" s="2" cm="1">
        <f t="array" aca="1" ref="L647" ca="1">IF(B647=0,0,INDIRECT("MRN_"&amp;A647))</f>
        <v>0</v>
      </c>
      <c r="M647" s="2">
        <f t="shared" si="99"/>
        <v>0</v>
      </c>
      <c r="N647" s="2" t="str">
        <f t="shared" si="100"/>
        <v>No</v>
      </c>
      <c r="O647" s="2" t="str">
        <f t="shared" si="101"/>
        <v>No</v>
      </c>
      <c r="P647" s="2" t="str" cm="1">
        <f t="array" aca="1" ref="P647" ca="1">IF(OR(INDIRECT("MRN_"&amp;A647)="N/A",B647=0),"No","Yes")</f>
        <v>No</v>
      </c>
    </row>
    <row r="648" spans="1:16" x14ac:dyDescent="0.2">
      <c r="A648" s="68">
        <v>19</v>
      </c>
      <c r="B648" s="349">
        <f>'Client 19'!S26</f>
        <v>0</v>
      </c>
      <c r="C648" s="2">
        <f>'Client 19'!T26</f>
        <v>0</v>
      </c>
      <c r="D648" s="2">
        <f>'Client 19'!U26</f>
        <v>0</v>
      </c>
      <c r="E648" s="2">
        <f>'Client 19'!V26</f>
        <v>0</v>
      </c>
      <c r="F648" s="350">
        <f>'Client 19'!W26</f>
        <v>0</v>
      </c>
      <c r="G648" s="2">
        <f>'Client 19'!X26</f>
        <v>0</v>
      </c>
      <c r="H648" s="2">
        <f>'Client 19'!Y26</f>
        <v>0</v>
      </c>
      <c r="I648" s="2">
        <f>'Client 19'!Z26</f>
        <v>0</v>
      </c>
      <c r="J648" s="2">
        <f>'Client 19'!AA26</f>
        <v>0</v>
      </c>
      <c r="K648" s="2">
        <f>'Client 19'!AB26</f>
        <v>0</v>
      </c>
      <c r="L648" s="2" cm="1">
        <f t="array" aca="1" ref="L648" ca="1">IF(B648=0,0,INDIRECT("MRN_"&amp;A648))</f>
        <v>0</v>
      </c>
      <c r="M648" s="2">
        <f t="shared" si="99"/>
        <v>0</v>
      </c>
      <c r="N648" s="2" t="str">
        <f t="shared" si="100"/>
        <v>No</v>
      </c>
      <c r="O648" s="2" t="str">
        <f t="shared" si="101"/>
        <v>No</v>
      </c>
      <c r="P648" s="2" t="str" cm="1">
        <f t="array" aca="1" ref="P648" ca="1">IF(OR(INDIRECT("MRN_"&amp;A648)="N/A",B648=0),"No","Yes")</f>
        <v>No</v>
      </c>
    </row>
    <row r="649" spans="1:16" x14ac:dyDescent="0.2">
      <c r="A649" s="68">
        <v>19</v>
      </c>
      <c r="B649" s="349">
        <f>'Client 19'!S27</f>
        <v>0</v>
      </c>
      <c r="C649" s="2">
        <f>'Client 19'!T27</f>
        <v>0</v>
      </c>
      <c r="D649" s="2">
        <f>'Client 19'!U27</f>
        <v>0</v>
      </c>
      <c r="E649" s="2">
        <f>'Client 19'!V27</f>
        <v>0</v>
      </c>
      <c r="F649" s="350">
        <f>'Client 19'!W27</f>
        <v>0</v>
      </c>
      <c r="G649" s="2">
        <f>'Client 19'!X27</f>
        <v>0</v>
      </c>
      <c r="H649" s="2">
        <f>'Client 19'!Y27</f>
        <v>0</v>
      </c>
      <c r="I649" s="2">
        <f>'Client 19'!Z27</f>
        <v>0</v>
      </c>
      <c r="J649" s="2">
        <f>'Client 19'!AA27</f>
        <v>0</v>
      </c>
      <c r="K649" s="2">
        <f>'Client 19'!AB27</f>
        <v>0</v>
      </c>
      <c r="L649" s="2" cm="1">
        <f t="array" aca="1" ref="L649" ca="1">IF(B649=0,0,INDIRECT("MRN_"&amp;A649))</f>
        <v>0</v>
      </c>
      <c r="M649" s="2">
        <f t="shared" si="99"/>
        <v>0</v>
      </c>
      <c r="N649" s="2" t="str">
        <f t="shared" si="100"/>
        <v>No</v>
      </c>
      <c r="O649" s="2" t="str">
        <f t="shared" si="101"/>
        <v>No</v>
      </c>
      <c r="P649" s="2" t="str" cm="1">
        <f t="array" aca="1" ref="P649" ca="1">IF(OR(INDIRECT("MRN_"&amp;A649)="N/A",B649=0),"No","Yes")</f>
        <v>No</v>
      </c>
    </row>
    <row r="650" spans="1:16" x14ac:dyDescent="0.2">
      <c r="A650" s="68">
        <v>19</v>
      </c>
      <c r="B650" s="349">
        <f>'Client 19'!S28</f>
        <v>0</v>
      </c>
      <c r="C650" s="2">
        <f>'Client 19'!T28</f>
        <v>0</v>
      </c>
      <c r="D650" s="2">
        <f>'Client 19'!U28</f>
        <v>0</v>
      </c>
      <c r="E650" s="2">
        <f>'Client 19'!V28</f>
        <v>0</v>
      </c>
      <c r="F650" s="350">
        <f>'Client 19'!W28</f>
        <v>0</v>
      </c>
      <c r="G650" s="2">
        <f>'Client 19'!X28</f>
        <v>0</v>
      </c>
      <c r="H650" s="2">
        <f>'Client 19'!Y28</f>
        <v>0</v>
      </c>
      <c r="I650" s="2">
        <f>'Client 19'!Z28</f>
        <v>0</v>
      </c>
      <c r="J650" s="2">
        <f>'Client 19'!AA28</f>
        <v>0</v>
      </c>
      <c r="K650" s="2">
        <f>'Client 19'!AB28</f>
        <v>0</v>
      </c>
      <c r="L650" s="2" cm="1">
        <f t="array" aca="1" ref="L650" ca="1">IF(B650=0,0,INDIRECT("MRN_"&amp;A650))</f>
        <v>0</v>
      </c>
      <c r="M650" s="2">
        <f t="shared" si="99"/>
        <v>0</v>
      </c>
      <c r="N650" s="2" t="str">
        <f t="shared" si="100"/>
        <v>No</v>
      </c>
      <c r="O650" s="2" t="str">
        <f t="shared" si="101"/>
        <v>No</v>
      </c>
      <c r="P650" s="2" t="str" cm="1">
        <f t="array" aca="1" ref="P650" ca="1">IF(OR(INDIRECT("MRN_"&amp;A650)="N/A",B650=0),"No","Yes")</f>
        <v>No</v>
      </c>
    </row>
    <row r="651" spans="1:16" x14ac:dyDescent="0.2">
      <c r="A651" s="68">
        <v>19</v>
      </c>
      <c r="B651" s="349">
        <f>'Client 19'!S29</f>
        <v>0</v>
      </c>
      <c r="C651" s="2">
        <f>'Client 19'!T29</f>
        <v>0</v>
      </c>
      <c r="D651" s="2">
        <f>'Client 19'!U29</f>
        <v>0</v>
      </c>
      <c r="E651" s="2">
        <f>'Client 19'!V29</f>
        <v>0</v>
      </c>
      <c r="F651" s="350">
        <f>'Client 19'!W29</f>
        <v>0</v>
      </c>
      <c r="G651" s="2">
        <f>'Client 19'!X29</f>
        <v>0</v>
      </c>
      <c r="H651" s="2">
        <f>'Client 19'!Y29</f>
        <v>0</v>
      </c>
      <c r="I651" s="2">
        <f>'Client 19'!Z29</f>
        <v>0</v>
      </c>
      <c r="J651" s="2">
        <f>'Client 19'!AA29</f>
        <v>0</v>
      </c>
      <c r="K651" s="2">
        <f>'Client 19'!AB29</f>
        <v>0</v>
      </c>
      <c r="L651" s="2" cm="1">
        <f t="array" aca="1" ref="L651" ca="1">IF(B651=0,0,INDIRECT("MRN_"&amp;A651))</f>
        <v>0</v>
      </c>
      <c r="M651" s="2">
        <f t="shared" si="99"/>
        <v>0</v>
      </c>
      <c r="N651" s="2" t="str">
        <f t="shared" si="100"/>
        <v>No</v>
      </c>
      <c r="O651" s="2" t="str">
        <f t="shared" si="101"/>
        <v>No</v>
      </c>
      <c r="P651" s="2" t="str" cm="1">
        <f t="array" aca="1" ref="P651" ca="1">IF(OR(INDIRECT("MRN_"&amp;A651)="N/A",B651=0),"No","Yes")</f>
        <v>No</v>
      </c>
    </row>
    <row r="652" spans="1:16" x14ac:dyDescent="0.2">
      <c r="A652" s="68">
        <v>19</v>
      </c>
      <c r="B652" s="349">
        <f>'Client 19'!S30</f>
        <v>0</v>
      </c>
      <c r="C652" s="2">
        <f>'Client 19'!T30</f>
        <v>0</v>
      </c>
      <c r="D652" s="2">
        <f>'Client 19'!U30</f>
        <v>0</v>
      </c>
      <c r="E652" s="2">
        <f>'Client 19'!V30</f>
        <v>0</v>
      </c>
      <c r="F652" s="350">
        <f>'Client 19'!W30</f>
        <v>0</v>
      </c>
      <c r="G652" s="2">
        <f>'Client 19'!X30</f>
        <v>0</v>
      </c>
      <c r="H652" s="2">
        <f>'Client 19'!Y30</f>
        <v>0</v>
      </c>
      <c r="I652" s="2">
        <f>'Client 19'!Z30</f>
        <v>0</v>
      </c>
      <c r="J652" s="2">
        <f>'Client 19'!AA30</f>
        <v>0</v>
      </c>
      <c r="K652" s="2">
        <f>'Client 19'!AB30</f>
        <v>0</v>
      </c>
      <c r="L652" s="2" cm="1">
        <f t="array" aca="1" ref="L652" ca="1">IF(B652=0,0,INDIRECT("MRN_"&amp;A652))</f>
        <v>0</v>
      </c>
      <c r="M652" s="2">
        <f t="shared" si="99"/>
        <v>0</v>
      </c>
      <c r="N652" s="2" t="str">
        <f t="shared" si="100"/>
        <v>No</v>
      </c>
      <c r="O652" s="2" t="str">
        <f t="shared" si="101"/>
        <v>No</v>
      </c>
      <c r="P652" s="2" t="str" cm="1">
        <f t="array" aca="1" ref="P652" ca="1">IF(OR(INDIRECT("MRN_"&amp;A652)="N/A",B652=0),"No","Yes")</f>
        <v>No</v>
      </c>
    </row>
    <row r="653" spans="1:16" x14ac:dyDescent="0.2">
      <c r="A653" s="68">
        <v>19</v>
      </c>
      <c r="B653" s="349">
        <f>'Client 19'!S31</f>
        <v>0</v>
      </c>
      <c r="C653" s="2">
        <f>'Client 19'!T31</f>
        <v>0</v>
      </c>
      <c r="D653" s="2">
        <f>'Client 19'!U31</f>
        <v>0</v>
      </c>
      <c r="E653" s="2">
        <f>'Client 19'!V31</f>
        <v>0</v>
      </c>
      <c r="F653" s="350">
        <f>'Client 19'!W31</f>
        <v>0</v>
      </c>
      <c r="G653" s="2">
        <f>'Client 19'!X31</f>
        <v>0</v>
      </c>
      <c r="H653" s="2">
        <f>'Client 19'!Y31</f>
        <v>0</v>
      </c>
      <c r="I653" s="2">
        <f>'Client 19'!Z31</f>
        <v>0</v>
      </c>
      <c r="J653" s="2">
        <f>'Client 19'!AA31</f>
        <v>0</v>
      </c>
      <c r="K653" s="2">
        <f>'Client 19'!AB31</f>
        <v>0</v>
      </c>
      <c r="L653" s="2" cm="1">
        <f t="array" aca="1" ref="L653" ca="1">IF(B653=0,0,INDIRECT("MRN_"&amp;A653))</f>
        <v>0</v>
      </c>
      <c r="M653" s="2">
        <f t="shared" si="99"/>
        <v>0</v>
      </c>
      <c r="N653" s="2" t="str">
        <f t="shared" si="100"/>
        <v>No</v>
      </c>
      <c r="O653" s="2" t="str">
        <f t="shared" si="101"/>
        <v>No</v>
      </c>
      <c r="P653" s="2" t="str" cm="1">
        <f t="array" aca="1" ref="P653" ca="1">IF(OR(INDIRECT("MRN_"&amp;A653)="N/A",B653=0),"No","Yes")</f>
        <v>No</v>
      </c>
    </row>
    <row r="654" spans="1:16" x14ac:dyDescent="0.2">
      <c r="A654" s="68">
        <v>19</v>
      </c>
      <c r="B654" s="349">
        <f>'Client 19'!S32</f>
        <v>0</v>
      </c>
      <c r="C654" s="2">
        <f>'Client 19'!T32</f>
        <v>0</v>
      </c>
      <c r="D654" s="2">
        <f>'Client 19'!U32</f>
        <v>0</v>
      </c>
      <c r="E654" s="2">
        <f>'Client 19'!V32</f>
        <v>0</v>
      </c>
      <c r="F654" s="350">
        <f>'Client 19'!W32</f>
        <v>0</v>
      </c>
      <c r="G654" s="2">
        <f>'Client 19'!X32</f>
        <v>0</v>
      </c>
      <c r="H654" s="2">
        <f>'Client 19'!Y32</f>
        <v>0</v>
      </c>
      <c r="I654" s="2">
        <f>'Client 19'!Z32</f>
        <v>0</v>
      </c>
      <c r="J654" s="2">
        <f>'Client 19'!AA32</f>
        <v>0</v>
      </c>
      <c r="K654" s="2">
        <f>'Client 19'!AB32</f>
        <v>0</v>
      </c>
      <c r="L654" s="2" cm="1">
        <f t="array" aca="1" ref="L654" ca="1">IF(B654=0,0,INDIRECT("MRN_"&amp;A654))</f>
        <v>0</v>
      </c>
      <c r="M654" s="2">
        <f t="shared" si="99"/>
        <v>0</v>
      </c>
      <c r="N654" s="2" t="str">
        <f t="shared" si="100"/>
        <v>No</v>
      </c>
      <c r="O654" s="2" t="str">
        <f t="shared" si="101"/>
        <v>No</v>
      </c>
      <c r="P654" s="2" t="str" cm="1">
        <f t="array" aca="1" ref="P654" ca="1">IF(OR(INDIRECT("MRN_"&amp;A654)="N/A",B654=0),"No","Yes")</f>
        <v>No</v>
      </c>
    </row>
    <row r="655" spans="1:16" x14ac:dyDescent="0.2">
      <c r="A655" s="68">
        <v>19</v>
      </c>
      <c r="B655" s="349">
        <f>'Client 19'!S33</f>
        <v>0</v>
      </c>
      <c r="C655" s="2">
        <f>'Client 19'!T33</f>
        <v>0</v>
      </c>
      <c r="D655" s="2">
        <f>'Client 19'!U33</f>
        <v>0</v>
      </c>
      <c r="E655" s="2">
        <f>'Client 19'!V33</f>
        <v>0</v>
      </c>
      <c r="F655" s="350">
        <f>'Client 19'!W33</f>
        <v>0</v>
      </c>
      <c r="G655" s="2">
        <f>'Client 19'!X33</f>
        <v>0</v>
      </c>
      <c r="H655" s="2">
        <f>'Client 19'!Y33</f>
        <v>0</v>
      </c>
      <c r="I655" s="2">
        <f>'Client 19'!Z33</f>
        <v>0</v>
      </c>
      <c r="J655" s="2">
        <f>'Client 19'!AA33</f>
        <v>0</v>
      </c>
      <c r="K655" s="2">
        <f>'Client 19'!AB33</f>
        <v>0</v>
      </c>
      <c r="L655" s="2" cm="1">
        <f t="array" aca="1" ref="L655" ca="1">IF(B655=0,0,INDIRECT("MRN_"&amp;A655))</f>
        <v>0</v>
      </c>
      <c r="M655" s="2">
        <f t="shared" si="99"/>
        <v>0</v>
      </c>
      <c r="N655" s="2" t="str">
        <f t="shared" si="100"/>
        <v>No</v>
      </c>
      <c r="O655" s="2" t="str">
        <f t="shared" si="101"/>
        <v>No</v>
      </c>
      <c r="P655" s="2" t="str" cm="1">
        <f t="array" aca="1" ref="P655" ca="1">IF(OR(INDIRECT("MRN_"&amp;A655)="N/A",B655=0),"No","Yes")</f>
        <v>No</v>
      </c>
    </row>
    <row r="656" spans="1:16" x14ac:dyDescent="0.2">
      <c r="A656" s="68">
        <v>19</v>
      </c>
      <c r="B656" s="349">
        <f>'Client 19'!S34</f>
        <v>0</v>
      </c>
      <c r="C656" s="2">
        <f>'Client 19'!T34</f>
        <v>0</v>
      </c>
      <c r="D656" s="2">
        <f>'Client 19'!U34</f>
        <v>0</v>
      </c>
      <c r="E656" s="2">
        <f>'Client 19'!V34</f>
        <v>0</v>
      </c>
      <c r="F656" s="350">
        <f>'Client 19'!W34</f>
        <v>0</v>
      </c>
      <c r="G656" s="2">
        <f>'Client 19'!X34</f>
        <v>0</v>
      </c>
      <c r="H656" s="2">
        <f>'Client 19'!Y34</f>
        <v>0</v>
      </c>
      <c r="I656" s="2">
        <f>'Client 19'!Z34</f>
        <v>0</v>
      </c>
      <c r="J656" s="2">
        <f>'Client 19'!AA34</f>
        <v>0</v>
      </c>
      <c r="K656" s="2">
        <f>'Client 19'!AB34</f>
        <v>0</v>
      </c>
      <c r="L656" s="2" cm="1">
        <f t="array" aca="1" ref="L656" ca="1">IF(B656=0,0,INDIRECT("MRN_"&amp;A656))</f>
        <v>0</v>
      </c>
      <c r="M656" s="2">
        <f t="shared" si="99"/>
        <v>0</v>
      </c>
      <c r="N656" s="2" t="str">
        <f t="shared" si="100"/>
        <v>No</v>
      </c>
      <c r="O656" s="2" t="str">
        <f t="shared" si="101"/>
        <v>No</v>
      </c>
      <c r="P656" s="2" t="str" cm="1">
        <f t="array" aca="1" ref="P656" ca="1">IF(OR(INDIRECT("MRN_"&amp;A656)="N/A",B656=0),"No","Yes")</f>
        <v>No</v>
      </c>
    </row>
    <row r="657" spans="1:16" x14ac:dyDescent="0.2">
      <c r="A657" s="68">
        <v>19</v>
      </c>
      <c r="B657" s="349">
        <f>'Client 19'!S35</f>
        <v>0</v>
      </c>
      <c r="C657" s="2">
        <f>'Client 19'!T35</f>
        <v>0</v>
      </c>
      <c r="D657" s="2">
        <f>'Client 19'!U35</f>
        <v>0</v>
      </c>
      <c r="E657" s="2">
        <f>'Client 19'!V35</f>
        <v>0</v>
      </c>
      <c r="F657" s="350">
        <f>'Client 19'!W35</f>
        <v>0</v>
      </c>
      <c r="G657" s="2">
        <f>'Client 19'!X35</f>
        <v>0</v>
      </c>
      <c r="H657" s="2">
        <f>'Client 19'!Y35</f>
        <v>0</v>
      </c>
      <c r="I657" s="2">
        <f>'Client 19'!Z35</f>
        <v>0</v>
      </c>
      <c r="J657" s="2">
        <f>'Client 19'!AA35</f>
        <v>0</v>
      </c>
      <c r="K657" s="2">
        <f>'Client 19'!AB35</f>
        <v>0</v>
      </c>
      <c r="L657" s="2" cm="1">
        <f t="array" aca="1" ref="L657" ca="1">IF(B657=0,0,INDIRECT("MRN_"&amp;A657))</f>
        <v>0</v>
      </c>
      <c r="M657" s="2">
        <f t="shared" si="99"/>
        <v>0</v>
      </c>
      <c r="N657" s="2" t="str">
        <f t="shared" si="100"/>
        <v>No</v>
      </c>
      <c r="O657" s="2" t="str">
        <f t="shared" si="101"/>
        <v>No</v>
      </c>
      <c r="P657" s="2" t="str" cm="1">
        <f t="array" aca="1" ref="P657" ca="1">IF(OR(INDIRECT("MRN_"&amp;A657)="N/A",B657=0),"No","Yes")</f>
        <v>No</v>
      </c>
    </row>
    <row r="658" spans="1:16" x14ac:dyDescent="0.2">
      <c r="A658" s="68">
        <v>19</v>
      </c>
      <c r="B658" s="349">
        <f>'Client 19'!S36</f>
        <v>0</v>
      </c>
      <c r="C658" s="2">
        <f>'Client 19'!T36</f>
        <v>0</v>
      </c>
      <c r="D658" s="2">
        <f>'Client 19'!U36</f>
        <v>0</v>
      </c>
      <c r="E658" s="2">
        <f>'Client 19'!V36</f>
        <v>0</v>
      </c>
      <c r="F658" s="350">
        <f>'Client 19'!W36</f>
        <v>0</v>
      </c>
      <c r="G658" s="2">
        <f>'Client 19'!X36</f>
        <v>0</v>
      </c>
      <c r="H658" s="2">
        <f>'Client 19'!Y36</f>
        <v>0</v>
      </c>
      <c r="I658" s="2">
        <f>'Client 19'!Z36</f>
        <v>0</v>
      </c>
      <c r="J658" s="2">
        <f>'Client 19'!AA36</f>
        <v>0</v>
      </c>
      <c r="K658" s="2">
        <f>'Client 19'!AB36</f>
        <v>0</v>
      </c>
      <c r="L658" s="2" cm="1">
        <f t="array" aca="1" ref="L658" ca="1">IF(B658=0,0,INDIRECT("MRN_"&amp;A658))</f>
        <v>0</v>
      </c>
      <c r="M658" s="2">
        <f t="shared" si="99"/>
        <v>0</v>
      </c>
      <c r="N658" s="2" t="str">
        <f t="shared" si="100"/>
        <v>No</v>
      </c>
      <c r="O658" s="2" t="str">
        <f t="shared" si="101"/>
        <v>No</v>
      </c>
      <c r="P658" s="2" t="str" cm="1">
        <f t="array" aca="1" ref="P658" ca="1">IF(OR(INDIRECT("MRN_"&amp;A658)="N/A",B658=0),"No","Yes")</f>
        <v>No</v>
      </c>
    </row>
    <row r="659" spans="1:16" x14ac:dyDescent="0.2">
      <c r="A659" s="68">
        <v>19</v>
      </c>
      <c r="B659" s="349">
        <f>'Client 19'!S37</f>
        <v>0</v>
      </c>
      <c r="C659" s="2">
        <f>'Client 19'!T37</f>
        <v>0</v>
      </c>
      <c r="D659" s="2">
        <f>'Client 19'!U37</f>
        <v>0</v>
      </c>
      <c r="E659" s="2">
        <f>'Client 19'!V37</f>
        <v>0</v>
      </c>
      <c r="F659" s="350">
        <f>'Client 19'!W37</f>
        <v>0</v>
      </c>
      <c r="G659" s="2">
        <f>'Client 19'!X37</f>
        <v>0</v>
      </c>
      <c r="H659" s="2">
        <f>'Client 19'!Y37</f>
        <v>0</v>
      </c>
      <c r="I659" s="2">
        <f>'Client 19'!Z37</f>
        <v>0</v>
      </c>
      <c r="J659" s="2">
        <f>'Client 19'!AA37</f>
        <v>0</v>
      </c>
      <c r="K659" s="2">
        <f>'Client 19'!AB37</f>
        <v>0</v>
      </c>
      <c r="L659" s="2" cm="1">
        <f t="array" aca="1" ref="L659" ca="1">IF(B659=0,0,INDIRECT("MRN_"&amp;A659))</f>
        <v>0</v>
      </c>
      <c r="M659" s="2">
        <f t="shared" si="99"/>
        <v>0</v>
      </c>
      <c r="N659" s="2" t="str">
        <f t="shared" si="100"/>
        <v>No</v>
      </c>
      <c r="O659" s="2" t="str">
        <f t="shared" si="101"/>
        <v>No</v>
      </c>
      <c r="P659" s="2" t="str" cm="1">
        <f t="array" aca="1" ref="P659" ca="1">IF(OR(INDIRECT("MRN_"&amp;A659)="N/A",B659=0),"No","Yes")</f>
        <v>No</v>
      </c>
    </row>
    <row r="660" spans="1:16" x14ac:dyDescent="0.2">
      <c r="A660" s="68">
        <v>19</v>
      </c>
      <c r="B660" s="349">
        <f>'Client 19'!S38</f>
        <v>0</v>
      </c>
      <c r="C660" s="2">
        <f>'Client 19'!T38</f>
        <v>0</v>
      </c>
      <c r="D660" s="2">
        <f>'Client 19'!U38</f>
        <v>0</v>
      </c>
      <c r="E660" s="2">
        <f>'Client 19'!V38</f>
        <v>0</v>
      </c>
      <c r="F660" s="350">
        <f>'Client 19'!W38</f>
        <v>0</v>
      </c>
      <c r="G660" s="2">
        <f>'Client 19'!X38</f>
        <v>0</v>
      </c>
      <c r="H660" s="2">
        <f>'Client 19'!Y38</f>
        <v>0</v>
      </c>
      <c r="I660" s="2">
        <f>'Client 19'!Z38</f>
        <v>0</v>
      </c>
      <c r="J660" s="2">
        <f>'Client 19'!AA38</f>
        <v>0</v>
      </c>
      <c r="K660" s="2">
        <f>'Client 19'!AB38</f>
        <v>0</v>
      </c>
      <c r="L660" s="2" cm="1">
        <f t="array" aca="1" ref="L660" ca="1">IF(B660=0,0,INDIRECT("MRN_"&amp;A660))</f>
        <v>0</v>
      </c>
      <c r="M660" s="2">
        <f t="shared" si="99"/>
        <v>0</v>
      </c>
      <c r="N660" s="2" t="str">
        <f t="shared" si="100"/>
        <v>No</v>
      </c>
      <c r="O660" s="2" t="str">
        <f t="shared" si="101"/>
        <v>No</v>
      </c>
      <c r="P660" s="2" t="str" cm="1">
        <f t="array" aca="1" ref="P660" ca="1">IF(OR(INDIRECT("MRN_"&amp;A660)="N/A",B660=0),"No","Yes")</f>
        <v>No</v>
      </c>
    </row>
    <row r="661" spans="1:16" x14ac:dyDescent="0.2">
      <c r="A661" s="68">
        <v>20</v>
      </c>
      <c r="B661" s="349">
        <f>'Client 20'!S9</f>
        <v>0</v>
      </c>
      <c r="C661" s="2">
        <f>'Client 20'!T9</f>
        <v>0</v>
      </c>
      <c r="D661" s="2">
        <f>'Client 20'!U9</f>
        <v>0</v>
      </c>
      <c r="E661" s="2">
        <f>'Client 20'!V9</f>
        <v>0</v>
      </c>
      <c r="F661" s="350">
        <f>'Client 20'!W9</f>
        <v>0</v>
      </c>
      <c r="G661" s="2">
        <f>'Client 20'!X9</f>
        <v>0</v>
      </c>
      <c r="H661" s="2">
        <f>'Client 20'!Y9</f>
        <v>0</v>
      </c>
      <c r="I661" s="2">
        <f>'Client 20'!Z9</f>
        <v>0</v>
      </c>
      <c r="J661" s="2">
        <f>'Client 20'!AA9</f>
        <v>0</v>
      </c>
      <c r="K661" s="2">
        <f>'Client 20'!AB9</f>
        <v>0</v>
      </c>
      <c r="L661" s="2" cm="1">
        <f t="array" aca="1" ref="L661" ca="1">IF(B661=0,0,INDIRECT("MRN_"&amp;A661))</f>
        <v>0</v>
      </c>
      <c r="M661" s="2">
        <f t="shared" si="99"/>
        <v>0</v>
      </c>
      <c r="N661" s="2" t="str">
        <f t="shared" si="100"/>
        <v>No</v>
      </c>
      <c r="O661" s="2" t="str">
        <f t="shared" si="101"/>
        <v>No</v>
      </c>
      <c r="P661" s="2" t="str" cm="1">
        <f t="array" aca="1" ref="P661" ca="1">IF(OR(INDIRECT("MRN_"&amp;A661)="N/A",B661=0),"No","Yes")</f>
        <v>No</v>
      </c>
    </row>
    <row r="662" spans="1:16" x14ac:dyDescent="0.2">
      <c r="A662" s="68">
        <v>20</v>
      </c>
      <c r="B662" s="349">
        <f>'Client 20'!S10</f>
        <v>0</v>
      </c>
      <c r="C662" s="2">
        <f>'Client 20'!T10</f>
        <v>0</v>
      </c>
      <c r="D662" s="2">
        <f>'Client 20'!U10</f>
        <v>0</v>
      </c>
      <c r="E662" s="2">
        <f>'Client 20'!V10</f>
        <v>0</v>
      </c>
      <c r="F662" s="350">
        <f>'Client 20'!W10</f>
        <v>0</v>
      </c>
      <c r="G662" s="2">
        <f>'Client 20'!X10</f>
        <v>0</v>
      </c>
      <c r="H662" s="2">
        <f>'Client 20'!Y10</f>
        <v>0</v>
      </c>
      <c r="I662" s="2">
        <f>'Client 20'!Z10</f>
        <v>0</v>
      </c>
      <c r="J662" s="2">
        <f>'Client 20'!AA10</f>
        <v>0</v>
      </c>
      <c r="K662" s="2">
        <f>'Client 20'!AB10</f>
        <v>0</v>
      </c>
      <c r="L662" s="2" cm="1">
        <f t="array" aca="1" ref="L662" ca="1">IF(B662=0,0,INDIRECT("MRN_"&amp;A662))</f>
        <v>0</v>
      </c>
      <c r="M662" s="2">
        <f t="shared" si="99"/>
        <v>0</v>
      </c>
      <c r="N662" s="2" t="str">
        <f t="shared" si="100"/>
        <v>No</v>
      </c>
      <c r="O662" s="2" t="str">
        <f t="shared" si="101"/>
        <v>No</v>
      </c>
      <c r="P662" s="2" t="str" cm="1">
        <f t="array" aca="1" ref="P662" ca="1">IF(OR(INDIRECT("MRN_"&amp;A662)="N/A",B662=0),"No","Yes")</f>
        <v>No</v>
      </c>
    </row>
    <row r="663" spans="1:16" x14ac:dyDescent="0.2">
      <c r="A663" s="68">
        <v>20</v>
      </c>
      <c r="B663" s="349">
        <f>'Client 20'!S11</f>
        <v>0</v>
      </c>
      <c r="C663" s="2">
        <f>'Client 20'!T11</f>
        <v>0</v>
      </c>
      <c r="D663" s="2">
        <f>'Client 20'!U11</f>
        <v>0</v>
      </c>
      <c r="E663" s="2">
        <f>'Client 20'!V11</f>
        <v>0</v>
      </c>
      <c r="F663" s="350">
        <f>'Client 20'!W11</f>
        <v>0</v>
      </c>
      <c r="G663" s="2">
        <f>'Client 20'!X11</f>
        <v>0</v>
      </c>
      <c r="H663" s="2">
        <f>'Client 20'!Y11</f>
        <v>0</v>
      </c>
      <c r="I663" s="2">
        <f>'Client 20'!Z11</f>
        <v>0</v>
      </c>
      <c r="J663" s="2">
        <f>'Client 20'!AA11</f>
        <v>0</v>
      </c>
      <c r="K663" s="2">
        <f>'Client 20'!AB11</f>
        <v>0</v>
      </c>
      <c r="L663" s="2" cm="1">
        <f t="array" aca="1" ref="L663" ca="1">IF(B663=0,0,INDIRECT("MRN_"&amp;A663))</f>
        <v>0</v>
      </c>
      <c r="M663" s="2">
        <f t="shared" si="99"/>
        <v>0</v>
      </c>
      <c r="N663" s="2" t="str">
        <f t="shared" si="100"/>
        <v>No</v>
      </c>
      <c r="O663" s="2" t="str">
        <f t="shared" si="101"/>
        <v>No</v>
      </c>
      <c r="P663" s="2" t="str" cm="1">
        <f t="array" aca="1" ref="P663" ca="1">IF(OR(INDIRECT("MRN_"&amp;A663)="N/A",B663=0),"No","Yes")</f>
        <v>No</v>
      </c>
    </row>
    <row r="664" spans="1:16" x14ac:dyDescent="0.2">
      <c r="A664" s="68">
        <v>20</v>
      </c>
      <c r="B664" s="349">
        <f>'Client 20'!S12</f>
        <v>0</v>
      </c>
      <c r="C664" s="2">
        <f>'Client 20'!T12</f>
        <v>0</v>
      </c>
      <c r="D664" s="2">
        <f>'Client 20'!U12</f>
        <v>0</v>
      </c>
      <c r="E664" s="2">
        <f>'Client 20'!V12</f>
        <v>0</v>
      </c>
      <c r="F664" s="350">
        <f>'Client 20'!W12</f>
        <v>0</v>
      </c>
      <c r="G664" s="2">
        <f>'Client 20'!X12</f>
        <v>0</v>
      </c>
      <c r="H664" s="2">
        <f>'Client 20'!Y12</f>
        <v>0</v>
      </c>
      <c r="I664" s="2">
        <f>'Client 20'!Z12</f>
        <v>0</v>
      </c>
      <c r="J664" s="2">
        <f>'Client 20'!AA12</f>
        <v>0</v>
      </c>
      <c r="K664" s="2">
        <f>'Client 20'!AB12</f>
        <v>0</v>
      </c>
      <c r="L664" s="2" cm="1">
        <f t="array" aca="1" ref="L664" ca="1">IF(B664=0,0,INDIRECT("MRN_"&amp;A664))</f>
        <v>0</v>
      </c>
      <c r="M664" s="2">
        <f t="shared" si="99"/>
        <v>0</v>
      </c>
      <c r="N664" s="2" t="str">
        <f t="shared" si="100"/>
        <v>No</v>
      </c>
      <c r="O664" s="2" t="str">
        <f t="shared" si="101"/>
        <v>No</v>
      </c>
      <c r="P664" s="2" t="str" cm="1">
        <f t="array" aca="1" ref="P664" ca="1">IF(OR(INDIRECT("MRN_"&amp;A664)="N/A",B664=0),"No","Yes")</f>
        <v>No</v>
      </c>
    </row>
    <row r="665" spans="1:16" x14ac:dyDescent="0.2">
      <c r="A665" s="68">
        <v>20</v>
      </c>
      <c r="B665" s="349">
        <f>'Client 20'!S13</f>
        <v>0</v>
      </c>
      <c r="C665" s="2">
        <f>'Client 20'!T13</f>
        <v>0</v>
      </c>
      <c r="D665" s="2">
        <f>'Client 20'!U13</f>
        <v>0</v>
      </c>
      <c r="E665" s="2">
        <f>'Client 20'!V13</f>
        <v>0</v>
      </c>
      <c r="F665" s="350">
        <f>'Client 20'!W13</f>
        <v>0</v>
      </c>
      <c r="G665" s="2">
        <f>'Client 20'!X13</f>
        <v>0</v>
      </c>
      <c r="H665" s="2">
        <f>'Client 20'!Y13</f>
        <v>0</v>
      </c>
      <c r="I665" s="2">
        <f>'Client 20'!Z13</f>
        <v>0</v>
      </c>
      <c r="J665" s="2">
        <f>'Client 20'!AA13</f>
        <v>0</v>
      </c>
      <c r="K665" s="2">
        <f>'Client 20'!AB13</f>
        <v>0</v>
      </c>
      <c r="L665" s="2" cm="1">
        <f t="array" aca="1" ref="L665" ca="1">IF(B665=0,0,INDIRECT("MRN_"&amp;A665))</f>
        <v>0</v>
      </c>
      <c r="M665" s="2">
        <f t="shared" si="99"/>
        <v>0</v>
      </c>
      <c r="N665" s="2" t="str">
        <f t="shared" si="100"/>
        <v>No</v>
      </c>
      <c r="O665" s="2" t="str">
        <f t="shared" si="101"/>
        <v>No</v>
      </c>
      <c r="P665" s="2" t="str" cm="1">
        <f t="array" aca="1" ref="P665" ca="1">IF(OR(INDIRECT("MRN_"&amp;A665)="N/A",B665=0),"No","Yes")</f>
        <v>No</v>
      </c>
    </row>
    <row r="666" spans="1:16" x14ac:dyDescent="0.2">
      <c r="A666" s="68">
        <v>20</v>
      </c>
      <c r="B666" s="349">
        <f>'Client 20'!S14</f>
        <v>0</v>
      </c>
      <c r="C666" s="2">
        <f>'Client 20'!T14</f>
        <v>0</v>
      </c>
      <c r="D666" s="2">
        <f>'Client 20'!U14</f>
        <v>0</v>
      </c>
      <c r="E666" s="2">
        <f>'Client 20'!V14</f>
        <v>0</v>
      </c>
      <c r="F666" s="350">
        <f>'Client 20'!W14</f>
        <v>0</v>
      </c>
      <c r="G666" s="2">
        <f>'Client 20'!X14</f>
        <v>0</v>
      </c>
      <c r="H666" s="2">
        <f>'Client 20'!Y14</f>
        <v>0</v>
      </c>
      <c r="I666" s="2">
        <f>'Client 20'!Z14</f>
        <v>0</v>
      </c>
      <c r="J666" s="2">
        <f>'Client 20'!AA14</f>
        <v>0</v>
      </c>
      <c r="K666" s="2">
        <f>'Client 20'!AB14</f>
        <v>0</v>
      </c>
      <c r="L666" s="2" cm="1">
        <f t="array" aca="1" ref="L666" ca="1">IF(B666=0,0,INDIRECT("MRN_"&amp;A666))</f>
        <v>0</v>
      </c>
      <c r="M666" s="2">
        <f t="shared" si="99"/>
        <v>0</v>
      </c>
      <c r="N666" s="2" t="str">
        <f t="shared" si="100"/>
        <v>No</v>
      </c>
      <c r="O666" s="2" t="str">
        <f t="shared" si="101"/>
        <v>No</v>
      </c>
      <c r="P666" s="2" t="str" cm="1">
        <f t="array" aca="1" ref="P666" ca="1">IF(OR(INDIRECT("MRN_"&amp;A666)="N/A",B666=0),"No","Yes")</f>
        <v>No</v>
      </c>
    </row>
    <row r="667" spans="1:16" x14ac:dyDescent="0.2">
      <c r="A667" s="68">
        <v>20</v>
      </c>
      <c r="B667" s="349">
        <f>'Client 20'!S15</f>
        <v>0</v>
      </c>
      <c r="C667" s="2">
        <f>'Client 20'!T15</f>
        <v>0</v>
      </c>
      <c r="D667" s="2">
        <f>'Client 20'!U15</f>
        <v>0</v>
      </c>
      <c r="E667" s="2">
        <f>'Client 20'!V15</f>
        <v>0</v>
      </c>
      <c r="F667" s="350">
        <f>'Client 20'!W15</f>
        <v>0</v>
      </c>
      <c r="G667" s="2">
        <f>'Client 20'!X15</f>
        <v>0</v>
      </c>
      <c r="H667" s="2">
        <f>'Client 20'!Y15</f>
        <v>0</v>
      </c>
      <c r="I667" s="2">
        <f>'Client 20'!Z15</f>
        <v>0</v>
      </c>
      <c r="J667" s="2">
        <f>'Client 20'!AA15</f>
        <v>0</v>
      </c>
      <c r="K667" s="2">
        <f>'Client 20'!AB15</f>
        <v>0</v>
      </c>
      <c r="L667" s="2" cm="1">
        <f t="array" aca="1" ref="L667" ca="1">IF(B667=0,0,INDIRECT("MRN_"&amp;A667))</f>
        <v>0</v>
      </c>
      <c r="M667" s="2">
        <f t="shared" si="99"/>
        <v>0</v>
      </c>
      <c r="N667" s="2" t="str">
        <f t="shared" si="100"/>
        <v>No</v>
      </c>
      <c r="O667" s="2" t="str">
        <f t="shared" si="101"/>
        <v>No</v>
      </c>
      <c r="P667" s="2" t="str" cm="1">
        <f t="array" aca="1" ref="P667" ca="1">IF(OR(INDIRECT("MRN_"&amp;A667)="N/A",B667=0),"No","Yes")</f>
        <v>No</v>
      </c>
    </row>
    <row r="668" spans="1:16" x14ac:dyDescent="0.2">
      <c r="A668" s="68">
        <v>20</v>
      </c>
      <c r="B668" s="349">
        <f>'Client 20'!S16</f>
        <v>0</v>
      </c>
      <c r="C668" s="2">
        <f>'Client 20'!T16</f>
        <v>0</v>
      </c>
      <c r="D668" s="2">
        <f>'Client 20'!U16</f>
        <v>0</v>
      </c>
      <c r="E668" s="2">
        <f>'Client 20'!V16</f>
        <v>0</v>
      </c>
      <c r="F668" s="350">
        <f>'Client 20'!W16</f>
        <v>0</v>
      </c>
      <c r="G668" s="2">
        <f>'Client 20'!X16</f>
        <v>0</v>
      </c>
      <c r="H668" s="2">
        <f>'Client 20'!Y16</f>
        <v>0</v>
      </c>
      <c r="I668" s="2">
        <f>'Client 20'!Z16</f>
        <v>0</v>
      </c>
      <c r="J668" s="2">
        <f>'Client 20'!AA16</f>
        <v>0</v>
      </c>
      <c r="K668" s="2">
        <f>'Client 20'!AB16</f>
        <v>0</v>
      </c>
      <c r="L668" s="2" cm="1">
        <f t="array" aca="1" ref="L668" ca="1">IF(B668=0,0,INDIRECT("MRN_"&amp;A668))</f>
        <v>0</v>
      </c>
      <c r="M668" s="2">
        <f t="shared" ref="M668:M690" si="102">IF(B668=0,0,"Client_"&amp;A668)</f>
        <v>0</v>
      </c>
      <c r="N668" s="2" t="str">
        <f t="shared" ref="N668:N690" si="103">IF(J668=0,"No","Yes")</f>
        <v>No</v>
      </c>
      <c r="O668" s="2" t="str">
        <f t="shared" ref="O668:O690" si="104">IF(I668=0,"No","Yes")</f>
        <v>No</v>
      </c>
      <c r="P668" s="2" t="str" cm="1">
        <f t="array" aca="1" ref="P668" ca="1">IF(OR(INDIRECT("MRN_"&amp;A668)="N/A",B668=0),"No","Yes")</f>
        <v>No</v>
      </c>
    </row>
    <row r="669" spans="1:16" x14ac:dyDescent="0.2">
      <c r="A669" s="68">
        <v>20</v>
      </c>
      <c r="B669" s="349">
        <f>'Client 20'!S17</f>
        <v>0</v>
      </c>
      <c r="C669" s="2">
        <f>'Client 20'!T17</f>
        <v>0</v>
      </c>
      <c r="D669" s="2">
        <f>'Client 20'!U17</f>
        <v>0</v>
      </c>
      <c r="E669" s="2">
        <f>'Client 20'!V17</f>
        <v>0</v>
      </c>
      <c r="F669" s="350">
        <f>'Client 20'!W17</f>
        <v>0</v>
      </c>
      <c r="G669" s="2">
        <f>'Client 20'!X17</f>
        <v>0</v>
      </c>
      <c r="H669" s="2">
        <f>'Client 20'!Y17</f>
        <v>0</v>
      </c>
      <c r="I669" s="2">
        <f>'Client 20'!Z17</f>
        <v>0</v>
      </c>
      <c r="J669" s="2">
        <f>'Client 20'!AA17</f>
        <v>0</v>
      </c>
      <c r="K669" s="2">
        <f>'Client 20'!AB17</f>
        <v>0</v>
      </c>
      <c r="L669" s="2" cm="1">
        <f t="array" aca="1" ref="L669" ca="1">IF(B669=0,0,INDIRECT("MRN_"&amp;A669))</f>
        <v>0</v>
      </c>
      <c r="M669" s="2">
        <f t="shared" si="102"/>
        <v>0</v>
      </c>
      <c r="N669" s="2" t="str">
        <f t="shared" si="103"/>
        <v>No</v>
      </c>
      <c r="O669" s="2" t="str">
        <f t="shared" si="104"/>
        <v>No</v>
      </c>
      <c r="P669" s="2" t="str" cm="1">
        <f t="array" aca="1" ref="P669" ca="1">IF(OR(INDIRECT("MRN_"&amp;A669)="N/A",B669=0),"No","Yes")</f>
        <v>No</v>
      </c>
    </row>
    <row r="670" spans="1:16" x14ac:dyDescent="0.2">
      <c r="A670" s="68">
        <v>20</v>
      </c>
      <c r="B670" s="349">
        <f>'Client 20'!S18</f>
        <v>0</v>
      </c>
      <c r="C670" s="2">
        <f>'Client 20'!T18</f>
        <v>0</v>
      </c>
      <c r="D670" s="2">
        <f>'Client 20'!U18</f>
        <v>0</v>
      </c>
      <c r="E670" s="2">
        <f>'Client 20'!V18</f>
        <v>0</v>
      </c>
      <c r="F670" s="350">
        <f>'Client 20'!W18</f>
        <v>0</v>
      </c>
      <c r="G670" s="2">
        <f>'Client 20'!X18</f>
        <v>0</v>
      </c>
      <c r="H670" s="2">
        <f>'Client 20'!Y18</f>
        <v>0</v>
      </c>
      <c r="I670" s="2">
        <f>'Client 20'!Z18</f>
        <v>0</v>
      </c>
      <c r="J670" s="2">
        <f>'Client 20'!AA18</f>
        <v>0</v>
      </c>
      <c r="K670" s="2">
        <f>'Client 20'!AB18</f>
        <v>0</v>
      </c>
      <c r="L670" s="2" cm="1">
        <f t="array" aca="1" ref="L670" ca="1">IF(B670=0,0,INDIRECT("MRN_"&amp;A670))</f>
        <v>0</v>
      </c>
      <c r="M670" s="2">
        <f t="shared" si="102"/>
        <v>0</v>
      </c>
      <c r="N670" s="2" t="str">
        <f t="shared" si="103"/>
        <v>No</v>
      </c>
      <c r="O670" s="2" t="str">
        <f t="shared" si="104"/>
        <v>No</v>
      </c>
      <c r="P670" s="2" t="str" cm="1">
        <f t="array" aca="1" ref="P670" ca="1">IF(OR(INDIRECT("MRN_"&amp;A670)="N/A",B670=0),"No","Yes")</f>
        <v>No</v>
      </c>
    </row>
    <row r="671" spans="1:16" x14ac:dyDescent="0.2">
      <c r="A671" s="68">
        <v>20</v>
      </c>
      <c r="B671" s="349">
        <f>'Client 20'!S19</f>
        <v>0</v>
      </c>
      <c r="C671" s="2">
        <f>'Client 20'!T19</f>
        <v>0</v>
      </c>
      <c r="D671" s="2">
        <f>'Client 20'!U19</f>
        <v>0</v>
      </c>
      <c r="E671" s="2">
        <f>'Client 20'!V19</f>
        <v>0</v>
      </c>
      <c r="F671" s="350">
        <f>'Client 20'!W19</f>
        <v>0</v>
      </c>
      <c r="G671" s="2">
        <f>'Client 20'!X19</f>
        <v>0</v>
      </c>
      <c r="H671" s="2">
        <f>'Client 20'!Y19</f>
        <v>0</v>
      </c>
      <c r="I671" s="2">
        <f>'Client 20'!Z19</f>
        <v>0</v>
      </c>
      <c r="J671" s="2">
        <f>'Client 20'!AA19</f>
        <v>0</v>
      </c>
      <c r="K671" s="2">
        <f>'Client 20'!AB19</f>
        <v>0</v>
      </c>
      <c r="L671" s="2" cm="1">
        <f t="array" aca="1" ref="L671" ca="1">IF(B671=0,0,INDIRECT("MRN_"&amp;A671))</f>
        <v>0</v>
      </c>
      <c r="M671" s="2">
        <f t="shared" si="102"/>
        <v>0</v>
      </c>
      <c r="N671" s="2" t="str">
        <f t="shared" si="103"/>
        <v>No</v>
      </c>
      <c r="O671" s="2" t="str">
        <f t="shared" si="104"/>
        <v>No</v>
      </c>
      <c r="P671" s="2" t="str" cm="1">
        <f t="array" aca="1" ref="P671" ca="1">IF(OR(INDIRECT("MRN_"&amp;A671)="N/A",B671=0),"No","Yes")</f>
        <v>No</v>
      </c>
    </row>
    <row r="672" spans="1:16" x14ac:dyDescent="0.2">
      <c r="A672" s="68">
        <v>20</v>
      </c>
      <c r="B672" s="349">
        <f>'Client 20'!S20</f>
        <v>0</v>
      </c>
      <c r="C672" s="2">
        <f>'Client 20'!T20</f>
        <v>0</v>
      </c>
      <c r="D672" s="2">
        <f>'Client 20'!U20</f>
        <v>0</v>
      </c>
      <c r="E672" s="2">
        <f>'Client 20'!V20</f>
        <v>0</v>
      </c>
      <c r="F672" s="350">
        <f>'Client 20'!W20</f>
        <v>0</v>
      </c>
      <c r="G672" s="2">
        <f>'Client 20'!X20</f>
        <v>0</v>
      </c>
      <c r="H672" s="2">
        <f>'Client 20'!Y20</f>
        <v>0</v>
      </c>
      <c r="I672" s="2">
        <f>'Client 20'!Z20</f>
        <v>0</v>
      </c>
      <c r="J672" s="2">
        <f>'Client 20'!AA20</f>
        <v>0</v>
      </c>
      <c r="K672" s="2">
        <f>'Client 20'!AB20</f>
        <v>0</v>
      </c>
      <c r="L672" s="2" cm="1">
        <f t="array" aca="1" ref="L672" ca="1">IF(B672=0,0,INDIRECT("MRN_"&amp;A672))</f>
        <v>0</v>
      </c>
      <c r="M672" s="2">
        <f t="shared" si="102"/>
        <v>0</v>
      </c>
      <c r="N672" s="2" t="str">
        <f t="shared" si="103"/>
        <v>No</v>
      </c>
      <c r="O672" s="2" t="str">
        <f t="shared" si="104"/>
        <v>No</v>
      </c>
      <c r="P672" s="2" t="str" cm="1">
        <f t="array" aca="1" ref="P672" ca="1">IF(OR(INDIRECT("MRN_"&amp;A672)="N/A",B672=0),"No","Yes")</f>
        <v>No</v>
      </c>
    </row>
    <row r="673" spans="1:16" x14ac:dyDescent="0.2">
      <c r="A673" s="68">
        <v>20</v>
      </c>
      <c r="B673" s="349">
        <f>'Client 20'!S21</f>
        <v>0</v>
      </c>
      <c r="C673" s="2">
        <f>'Client 20'!T21</f>
        <v>0</v>
      </c>
      <c r="D673" s="2">
        <f>'Client 20'!U21</f>
        <v>0</v>
      </c>
      <c r="E673" s="2">
        <f>'Client 20'!V21</f>
        <v>0</v>
      </c>
      <c r="F673" s="350">
        <f>'Client 20'!W21</f>
        <v>0</v>
      </c>
      <c r="G673" s="2">
        <f>'Client 20'!X21</f>
        <v>0</v>
      </c>
      <c r="H673" s="2">
        <f>'Client 20'!Y21</f>
        <v>0</v>
      </c>
      <c r="I673" s="2">
        <f>'Client 20'!Z21</f>
        <v>0</v>
      </c>
      <c r="J673" s="2">
        <f>'Client 20'!AA21</f>
        <v>0</v>
      </c>
      <c r="K673" s="2">
        <f>'Client 20'!AB21</f>
        <v>0</v>
      </c>
      <c r="L673" s="2" cm="1">
        <f t="array" aca="1" ref="L673" ca="1">IF(B673=0,0,INDIRECT("MRN_"&amp;A673))</f>
        <v>0</v>
      </c>
      <c r="M673" s="2">
        <f t="shared" si="102"/>
        <v>0</v>
      </c>
      <c r="N673" s="2" t="str">
        <f t="shared" si="103"/>
        <v>No</v>
      </c>
      <c r="O673" s="2" t="str">
        <f t="shared" si="104"/>
        <v>No</v>
      </c>
      <c r="P673" s="2" t="str" cm="1">
        <f t="array" aca="1" ref="P673" ca="1">IF(OR(INDIRECT("MRN_"&amp;A673)="N/A",B673=0),"No","Yes")</f>
        <v>No</v>
      </c>
    </row>
    <row r="674" spans="1:16" x14ac:dyDescent="0.2">
      <c r="A674" s="68">
        <v>20</v>
      </c>
      <c r="B674" s="349">
        <f>'Client 20'!S22</f>
        <v>0</v>
      </c>
      <c r="C674" s="2">
        <f>'Client 20'!T22</f>
        <v>0</v>
      </c>
      <c r="D674" s="2">
        <f>'Client 20'!U22</f>
        <v>0</v>
      </c>
      <c r="E674" s="2">
        <f>'Client 20'!V22</f>
        <v>0</v>
      </c>
      <c r="F674" s="350">
        <f>'Client 20'!W22</f>
        <v>0</v>
      </c>
      <c r="G674" s="2">
        <f>'Client 20'!X22</f>
        <v>0</v>
      </c>
      <c r="H674" s="2">
        <f>'Client 20'!Y22</f>
        <v>0</v>
      </c>
      <c r="I674" s="2">
        <f>'Client 20'!Z22</f>
        <v>0</v>
      </c>
      <c r="J674" s="2">
        <f>'Client 20'!AA22</f>
        <v>0</v>
      </c>
      <c r="K674" s="2">
        <f>'Client 20'!AB22</f>
        <v>0</v>
      </c>
      <c r="L674" s="2" cm="1">
        <f t="array" aca="1" ref="L674" ca="1">IF(B674=0,0,INDIRECT("MRN_"&amp;A674))</f>
        <v>0</v>
      </c>
      <c r="M674" s="2">
        <f t="shared" si="102"/>
        <v>0</v>
      </c>
      <c r="N674" s="2" t="str">
        <f t="shared" si="103"/>
        <v>No</v>
      </c>
      <c r="O674" s="2" t="str">
        <f t="shared" si="104"/>
        <v>No</v>
      </c>
      <c r="P674" s="2" t="str" cm="1">
        <f t="array" aca="1" ref="P674" ca="1">IF(OR(INDIRECT("MRN_"&amp;A674)="N/A",B674=0),"No","Yes")</f>
        <v>No</v>
      </c>
    </row>
    <row r="675" spans="1:16" x14ac:dyDescent="0.2">
      <c r="A675" s="68">
        <v>20</v>
      </c>
      <c r="B675" s="349">
        <f>'Client 20'!S23</f>
        <v>0</v>
      </c>
      <c r="C675" s="2">
        <f>'Client 20'!T23</f>
        <v>0</v>
      </c>
      <c r="D675" s="2">
        <f>'Client 20'!U23</f>
        <v>0</v>
      </c>
      <c r="E675" s="2">
        <f>'Client 20'!V23</f>
        <v>0</v>
      </c>
      <c r="F675" s="350">
        <f>'Client 20'!W23</f>
        <v>0</v>
      </c>
      <c r="G675" s="2">
        <f>'Client 20'!X23</f>
        <v>0</v>
      </c>
      <c r="H675" s="2">
        <f>'Client 20'!Y23</f>
        <v>0</v>
      </c>
      <c r="I675" s="2">
        <f>'Client 20'!Z23</f>
        <v>0</v>
      </c>
      <c r="J675" s="2">
        <f>'Client 20'!AA23</f>
        <v>0</v>
      </c>
      <c r="K675" s="2">
        <f>'Client 20'!AB23</f>
        <v>0</v>
      </c>
      <c r="L675" s="2" cm="1">
        <f t="array" aca="1" ref="L675" ca="1">IF(B675=0,0,INDIRECT("MRN_"&amp;A675))</f>
        <v>0</v>
      </c>
      <c r="M675" s="2">
        <f t="shared" si="102"/>
        <v>0</v>
      </c>
      <c r="N675" s="2" t="str">
        <f t="shared" si="103"/>
        <v>No</v>
      </c>
      <c r="O675" s="2" t="str">
        <f t="shared" si="104"/>
        <v>No</v>
      </c>
      <c r="P675" s="2" t="str" cm="1">
        <f t="array" aca="1" ref="P675" ca="1">IF(OR(INDIRECT("MRN_"&amp;A675)="N/A",B675=0),"No","Yes")</f>
        <v>No</v>
      </c>
    </row>
    <row r="676" spans="1:16" x14ac:dyDescent="0.2">
      <c r="A676" s="68">
        <v>20</v>
      </c>
      <c r="B676" s="349">
        <f>'Client 20'!S24</f>
        <v>0</v>
      </c>
      <c r="C676" s="2">
        <f>'Client 20'!T24</f>
        <v>0</v>
      </c>
      <c r="D676" s="2">
        <f>'Client 20'!U24</f>
        <v>0</v>
      </c>
      <c r="E676" s="2">
        <f>'Client 20'!V24</f>
        <v>0</v>
      </c>
      <c r="F676" s="350">
        <f>'Client 20'!W24</f>
        <v>0</v>
      </c>
      <c r="G676" s="2">
        <f>'Client 20'!X24</f>
        <v>0</v>
      </c>
      <c r="H676" s="2">
        <f>'Client 20'!Y24</f>
        <v>0</v>
      </c>
      <c r="I676" s="2">
        <f>'Client 20'!Z24</f>
        <v>0</v>
      </c>
      <c r="J676" s="2">
        <f>'Client 20'!AA24</f>
        <v>0</v>
      </c>
      <c r="K676" s="2">
        <f>'Client 20'!AB24</f>
        <v>0</v>
      </c>
      <c r="L676" s="2" cm="1">
        <f t="array" aca="1" ref="L676" ca="1">IF(B676=0,0,INDIRECT("MRN_"&amp;A676))</f>
        <v>0</v>
      </c>
      <c r="M676" s="2">
        <f t="shared" si="102"/>
        <v>0</v>
      </c>
      <c r="N676" s="2" t="str">
        <f t="shared" si="103"/>
        <v>No</v>
      </c>
      <c r="O676" s="2" t="str">
        <f t="shared" si="104"/>
        <v>No</v>
      </c>
      <c r="P676" s="2" t="str" cm="1">
        <f t="array" aca="1" ref="P676" ca="1">IF(OR(INDIRECT("MRN_"&amp;A676)="N/A",B676=0),"No","Yes")</f>
        <v>No</v>
      </c>
    </row>
    <row r="677" spans="1:16" x14ac:dyDescent="0.2">
      <c r="A677" s="68">
        <v>20</v>
      </c>
      <c r="B677" s="349">
        <f>'Client 20'!S25</f>
        <v>0</v>
      </c>
      <c r="C677" s="2">
        <f>'Client 20'!T25</f>
        <v>0</v>
      </c>
      <c r="D677" s="2">
        <f>'Client 20'!U25</f>
        <v>0</v>
      </c>
      <c r="E677" s="2">
        <f>'Client 20'!V25</f>
        <v>0</v>
      </c>
      <c r="F677" s="350">
        <f>'Client 20'!W25</f>
        <v>0</v>
      </c>
      <c r="G677" s="2">
        <f>'Client 20'!X25</f>
        <v>0</v>
      </c>
      <c r="H677" s="2">
        <f>'Client 20'!Y25</f>
        <v>0</v>
      </c>
      <c r="I677" s="2">
        <f>'Client 20'!Z25</f>
        <v>0</v>
      </c>
      <c r="J677" s="2">
        <f>'Client 20'!AA25</f>
        <v>0</v>
      </c>
      <c r="K677" s="2">
        <f>'Client 20'!AB25</f>
        <v>0</v>
      </c>
      <c r="L677" s="2" cm="1">
        <f t="array" aca="1" ref="L677" ca="1">IF(B677=0,0,INDIRECT("MRN_"&amp;A677))</f>
        <v>0</v>
      </c>
      <c r="M677" s="2">
        <f t="shared" si="102"/>
        <v>0</v>
      </c>
      <c r="N677" s="2" t="str">
        <f t="shared" si="103"/>
        <v>No</v>
      </c>
      <c r="O677" s="2" t="str">
        <f t="shared" si="104"/>
        <v>No</v>
      </c>
      <c r="P677" s="2" t="str" cm="1">
        <f t="array" aca="1" ref="P677" ca="1">IF(OR(INDIRECT("MRN_"&amp;A677)="N/A",B677=0),"No","Yes")</f>
        <v>No</v>
      </c>
    </row>
    <row r="678" spans="1:16" x14ac:dyDescent="0.2">
      <c r="A678" s="68">
        <v>20</v>
      </c>
      <c r="B678" s="349">
        <f>'Client 20'!S26</f>
        <v>0</v>
      </c>
      <c r="C678" s="2">
        <f>'Client 20'!T26</f>
        <v>0</v>
      </c>
      <c r="D678" s="2">
        <f>'Client 20'!U26</f>
        <v>0</v>
      </c>
      <c r="E678" s="2">
        <f>'Client 20'!V26</f>
        <v>0</v>
      </c>
      <c r="F678" s="350">
        <f>'Client 20'!W26</f>
        <v>0</v>
      </c>
      <c r="G678" s="2">
        <f>'Client 20'!X26</f>
        <v>0</v>
      </c>
      <c r="H678" s="2">
        <f>'Client 20'!Y26</f>
        <v>0</v>
      </c>
      <c r="I678" s="2">
        <f>'Client 20'!Z26</f>
        <v>0</v>
      </c>
      <c r="J678" s="2">
        <f>'Client 20'!AA26</f>
        <v>0</v>
      </c>
      <c r="K678" s="2">
        <f>'Client 20'!AB26</f>
        <v>0</v>
      </c>
      <c r="L678" s="2" cm="1">
        <f t="array" aca="1" ref="L678" ca="1">IF(B678=0,0,INDIRECT("MRN_"&amp;A678))</f>
        <v>0</v>
      </c>
      <c r="M678" s="2">
        <f t="shared" si="102"/>
        <v>0</v>
      </c>
      <c r="N678" s="2" t="str">
        <f t="shared" si="103"/>
        <v>No</v>
      </c>
      <c r="O678" s="2" t="str">
        <f t="shared" si="104"/>
        <v>No</v>
      </c>
      <c r="P678" s="2" t="str" cm="1">
        <f t="array" aca="1" ref="P678" ca="1">IF(OR(INDIRECT("MRN_"&amp;A678)="N/A",B678=0),"No","Yes")</f>
        <v>No</v>
      </c>
    </row>
    <row r="679" spans="1:16" x14ac:dyDescent="0.2">
      <c r="A679" s="68">
        <v>20</v>
      </c>
      <c r="B679" s="349">
        <f>'Client 20'!S27</f>
        <v>0</v>
      </c>
      <c r="C679" s="2">
        <f>'Client 20'!T27</f>
        <v>0</v>
      </c>
      <c r="D679" s="2">
        <f>'Client 20'!U27</f>
        <v>0</v>
      </c>
      <c r="E679" s="2">
        <f>'Client 20'!V27</f>
        <v>0</v>
      </c>
      <c r="F679" s="350">
        <f>'Client 20'!W27</f>
        <v>0</v>
      </c>
      <c r="G679" s="2">
        <f>'Client 20'!X27</f>
        <v>0</v>
      </c>
      <c r="H679" s="2">
        <f>'Client 20'!Y27</f>
        <v>0</v>
      </c>
      <c r="I679" s="2">
        <f>'Client 20'!Z27</f>
        <v>0</v>
      </c>
      <c r="J679" s="2">
        <f>'Client 20'!AA27</f>
        <v>0</v>
      </c>
      <c r="K679" s="2">
        <f>'Client 20'!AB27</f>
        <v>0</v>
      </c>
      <c r="L679" s="2" cm="1">
        <f t="array" aca="1" ref="L679" ca="1">IF(B679=0,0,INDIRECT("MRN_"&amp;A679))</f>
        <v>0</v>
      </c>
      <c r="M679" s="2">
        <f t="shared" si="102"/>
        <v>0</v>
      </c>
      <c r="N679" s="2" t="str">
        <f t="shared" si="103"/>
        <v>No</v>
      </c>
      <c r="O679" s="2" t="str">
        <f t="shared" si="104"/>
        <v>No</v>
      </c>
      <c r="P679" s="2" t="str" cm="1">
        <f t="array" aca="1" ref="P679" ca="1">IF(OR(INDIRECT("MRN_"&amp;A679)="N/A",B679=0),"No","Yes")</f>
        <v>No</v>
      </c>
    </row>
    <row r="680" spans="1:16" x14ac:dyDescent="0.2">
      <c r="A680" s="68">
        <v>20</v>
      </c>
      <c r="B680" s="349">
        <f>'Client 20'!S28</f>
        <v>0</v>
      </c>
      <c r="C680" s="2">
        <f>'Client 20'!T28</f>
        <v>0</v>
      </c>
      <c r="D680" s="2">
        <f>'Client 20'!U28</f>
        <v>0</v>
      </c>
      <c r="E680" s="2">
        <f>'Client 20'!V28</f>
        <v>0</v>
      </c>
      <c r="F680" s="350">
        <f>'Client 20'!W28</f>
        <v>0</v>
      </c>
      <c r="G680" s="2">
        <f>'Client 20'!X28</f>
        <v>0</v>
      </c>
      <c r="H680" s="2">
        <f>'Client 20'!Y28</f>
        <v>0</v>
      </c>
      <c r="I680" s="2">
        <f>'Client 20'!Z28</f>
        <v>0</v>
      </c>
      <c r="J680" s="2">
        <f>'Client 20'!AA28</f>
        <v>0</v>
      </c>
      <c r="K680" s="2">
        <f>'Client 20'!AB28</f>
        <v>0</v>
      </c>
      <c r="L680" s="2" cm="1">
        <f t="array" aca="1" ref="L680" ca="1">IF(B680=0,0,INDIRECT("MRN_"&amp;A680))</f>
        <v>0</v>
      </c>
      <c r="M680" s="2">
        <f t="shared" si="102"/>
        <v>0</v>
      </c>
      <c r="N680" s="2" t="str">
        <f t="shared" si="103"/>
        <v>No</v>
      </c>
      <c r="O680" s="2" t="str">
        <f t="shared" si="104"/>
        <v>No</v>
      </c>
      <c r="P680" s="2" t="str" cm="1">
        <f t="array" aca="1" ref="P680" ca="1">IF(OR(INDIRECT("MRN_"&amp;A680)="N/A",B680=0),"No","Yes")</f>
        <v>No</v>
      </c>
    </row>
    <row r="681" spans="1:16" x14ac:dyDescent="0.2">
      <c r="A681" s="68">
        <v>20</v>
      </c>
      <c r="B681" s="349">
        <f>'Client 20'!S29</f>
        <v>0</v>
      </c>
      <c r="C681" s="2">
        <f>'Client 20'!T29</f>
        <v>0</v>
      </c>
      <c r="D681" s="2">
        <f>'Client 20'!U29</f>
        <v>0</v>
      </c>
      <c r="E681" s="2">
        <f>'Client 20'!V29</f>
        <v>0</v>
      </c>
      <c r="F681" s="350">
        <f>'Client 20'!W29</f>
        <v>0</v>
      </c>
      <c r="G681" s="2">
        <f>'Client 20'!X29</f>
        <v>0</v>
      </c>
      <c r="H681" s="2">
        <f>'Client 20'!Y29</f>
        <v>0</v>
      </c>
      <c r="I681" s="2">
        <f>'Client 20'!Z29</f>
        <v>0</v>
      </c>
      <c r="J681" s="2">
        <f>'Client 20'!AA29</f>
        <v>0</v>
      </c>
      <c r="K681" s="2">
        <f>'Client 20'!AB29</f>
        <v>0</v>
      </c>
      <c r="L681" s="2" cm="1">
        <f t="array" aca="1" ref="L681" ca="1">IF(B681=0,0,INDIRECT("MRN_"&amp;A681))</f>
        <v>0</v>
      </c>
      <c r="M681" s="2">
        <f t="shared" si="102"/>
        <v>0</v>
      </c>
      <c r="N681" s="2" t="str">
        <f t="shared" si="103"/>
        <v>No</v>
      </c>
      <c r="O681" s="2" t="str">
        <f t="shared" si="104"/>
        <v>No</v>
      </c>
      <c r="P681" s="2" t="str" cm="1">
        <f t="array" aca="1" ref="P681" ca="1">IF(OR(INDIRECT("MRN_"&amp;A681)="N/A",B681=0),"No","Yes")</f>
        <v>No</v>
      </c>
    </row>
    <row r="682" spans="1:16" x14ac:dyDescent="0.2">
      <c r="A682" s="68">
        <v>20</v>
      </c>
      <c r="B682" s="349">
        <f>'Client 20'!S30</f>
        <v>0</v>
      </c>
      <c r="C682" s="2">
        <f>'Client 20'!T30</f>
        <v>0</v>
      </c>
      <c r="D682" s="2">
        <f>'Client 20'!U30</f>
        <v>0</v>
      </c>
      <c r="E682" s="2">
        <f>'Client 20'!V30</f>
        <v>0</v>
      </c>
      <c r="F682" s="350">
        <f>'Client 20'!W30</f>
        <v>0</v>
      </c>
      <c r="G682" s="2">
        <f>'Client 20'!X30</f>
        <v>0</v>
      </c>
      <c r="H682" s="2">
        <f>'Client 20'!Y30</f>
        <v>0</v>
      </c>
      <c r="I682" s="2">
        <f>'Client 20'!Z30</f>
        <v>0</v>
      </c>
      <c r="J682" s="2">
        <f>'Client 20'!AA30</f>
        <v>0</v>
      </c>
      <c r="K682" s="2">
        <f>'Client 20'!AB30</f>
        <v>0</v>
      </c>
      <c r="L682" s="2" cm="1">
        <f t="array" aca="1" ref="L682" ca="1">IF(B682=0,0,INDIRECT("MRN_"&amp;A682))</f>
        <v>0</v>
      </c>
      <c r="M682" s="2">
        <f t="shared" si="102"/>
        <v>0</v>
      </c>
      <c r="N682" s="2" t="str">
        <f t="shared" si="103"/>
        <v>No</v>
      </c>
      <c r="O682" s="2" t="str">
        <f t="shared" si="104"/>
        <v>No</v>
      </c>
      <c r="P682" s="2" t="str" cm="1">
        <f t="array" aca="1" ref="P682" ca="1">IF(OR(INDIRECT("MRN_"&amp;A682)="N/A",B682=0),"No","Yes")</f>
        <v>No</v>
      </c>
    </row>
    <row r="683" spans="1:16" x14ac:dyDescent="0.2">
      <c r="A683" s="68">
        <v>20</v>
      </c>
      <c r="B683" s="349">
        <f>'Client 20'!S31</f>
        <v>0</v>
      </c>
      <c r="C683" s="2">
        <f>'Client 20'!T31</f>
        <v>0</v>
      </c>
      <c r="D683" s="2">
        <f>'Client 20'!U31</f>
        <v>0</v>
      </c>
      <c r="E683" s="2">
        <f>'Client 20'!V31</f>
        <v>0</v>
      </c>
      <c r="F683" s="350">
        <f>'Client 20'!W31</f>
        <v>0</v>
      </c>
      <c r="G683" s="2">
        <f>'Client 20'!X31</f>
        <v>0</v>
      </c>
      <c r="H683" s="2">
        <f>'Client 20'!Y31</f>
        <v>0</v>
      </c>
      <c r="I683" s="2">
        <f>'Client 20'!Z31</f>
        <v>0</v>
      </c>
      <c r="J683" s="2">
        <f>'Client 20'!AA31</f>
        <v>0</v>
      </c>
      <c r="K683" s="2">
        <f>'Client 20'!AB31</f>
        <v>0</v>
      </c>
      <c r="L683" s="2" cm="1">
        <f t="array" aca="1" ref="L683" ca="1">IF(B683=0,0,INDIRECT("MRN_"&amp;A683))</f>
        <v>0</v>
      </c>
      <c r="M683" s="2">
        <f t="shared" si="102"/>
        <v>0</v>
      </c>
      <c r="N683" s="2" t="str">
        <f t="shared" si="103"/>
        <v>No</v>
      </c>
      <c r="O683" s="2" t="str">
        <f t="shared" si="104"/>
        <v>No</v>
      </c>
      <c r="P683" s="2" t="str" cm="1">
        <f t="array" aca="1" ref="P683" ca="1">IF(OR(INDIRECT("MRN_"&amp;A683)="N/A",B683=0),"No","Yes")</f>
        <v>No</v>
      </c>
    </row>
    <row r="684" spans="1:16" x14ac:dyDescent="0.2">
      <c r="A684" s="68">
        <v>20</v>
      </c>
      <c r="B684" s="349">
        <f>'Client 20'!S32</f>
        <v>0</v>
      </c>
      <c r="C684" s="2">
        <f>'Client 20'!T32</f>
        <v>0</v>
      </c>
      <c r="D684" s="2">
        <f>'Client 20'!U32</f>
        <v>0</v>
      </c>
      <c r="E684" s="2">
        <f>'Client 20'!V32</f>
        <v>0</v>
      </c>
      <c r="F684" s="350">
        <f>'Client 20'!W32</f>
        <v>0</v>
      </c>
      <c r="G684" s="2">
        <f>'Client 20'!X32</f>
        <v>0</v>
      </c>
      <c r="H684" s="2">
        <f>'Client 20'!Y32</f>
        <v>0</v>
      </c>
      <c r="I684" s="2">
        <f>'Client 20'!Z32</f>
        <v>0</v>
      </c>
      <c r="J684" s="2">
        <f>'Client 20'!AA32</f>
        <v>0</v>
      </c>
      <c r="K684" s="2">
        <f>'Client 20'!AB32</f>
        <v>0</v>
      </c>
      <c r="L684" s="2" cm="1">
        <f t="array" aca="1" ref="L684" ca="1">IF(B684=0,0,INDIRECT("MRN_"&amp;A684))</f>
        <v>0</v>
      </c>
      <c r="M684" s="2">
        <f t="shared" si="102"/>
        <v>0</v>
      </c>
      <c r="N684" s="2" t="str">
        <f t="shared" si="103"/>
        <v>No</v>
      </c>
      <c r="O684" s="2" t="str">
        <f t="shared" si="104"/>
        <v>No</v>
      </c>
      <c r="P684" s="2" t="str" cm="1">
        <f t="array" aca="1" ref="P684" ca="1">IF(OR(INDIRECT("MRN_"&amp;A684)="N/A",B684=0),"No","Yes")</f>
        <v>No</v>
      </c>
    </row>
    <row r="685" spans="1:16" x14ac:dyDescent="0.2">
      <c r="A685" s="68">
        <v>20</v>
      </c>
      <c r="B685" s="349">
        <f>'Client 20'!S33</f>
        <v>0</v>
      </c>
      <c r="C685" s="2">
        <f>'Client 20'!T33</f>
        <v>0</v>
      </c>
      <c r="D685" s="2">
        <f>'Client 20'!U33</f>
        <v>0</v>
      </c>
      <c r="E685" s="2">
        <f>'Client 20'!V33</f>
        <v>0</v>
      </c>
      <c r="F685" s="350">
        <f>'Client 20'!W33</f>
        <v>0</v>
      </c>
      <c r="G685" s="2">
        <f>'Client 20'!X33</f>
        <v>0</v>
      </c>
      <c r="H685" s="2">
        <f>'Client 20'!Y33</f>
        <v>0</v>
      </c>
      <c r="I685" s="2">
        <f>'Client 20'!Z33</f>
        <v>0</v>
      </c>
      <c r="J685" s="2">
        <f>'Client 20'!AA33</f>
        <v>0</v>
      </c>
      <c r="K685" s="2">
        <f>'Client 20'!AB33</f>
        <v>0</v>
      </c>
      <c r="L685" s="2" cm="1">
        <f t="array" aca="1" ref="L685" ca="1">IF(B685=0,0,INDIRECT("MRN_"&amp;A685))</f>
        <v>0</v>
      </c>
      <c r="M685" s="2">
        <f t="shared" si="102"/>
        <v>0</v>
      </c>
      <c r="N685" s="2" t="str">
        <f t="shared" si="103"/>
        <v>No</v>
      </c>
      <c r="O685" s="2" t="str">
        <f t="shared" si="104"/>
        <v>No</v>
      </c>
      <c r="P685" s="2" t="str" cm="1">
        <f t="array" aca="1" ref="P685" ca="1">IF(OR(INDIRECT("MRN_"&amp;A685)="N/A",B685=0),"No","Yes")</f>
        <v>No</v>
      </c>
    </row>
    <row r="686" spans="1:16" x14ac:dyDescent="0.2">
      <c r="A686" s="68">
        <v>20</v>
      </c>
      <c r="B686" s="349">
        <f>'Client 20'!S34</f>
        <v>0</v>
      </c>
      <c r="C686" s="2">
        <f>'Client 20'!T34</f>
        <v>0</v>
      </c>
      <c r="D686" s="2">
        <f>'Client 20'!U34</f>
        <v>0</v>
      </c>
      <c r="E686" s="2">
        <f>'Client 20'!V34</f>
        <v>0</v>
      </c>
      <c r="F686" s="350">
        <f>'Client 20'!W34</f>
        <v>0</v>
      </c>
      <c r="G686" s="2">
        <f>'Client 20'!X34</f>
        <v>0</v>
      </c>
      <c r="H686" s="2">
        <f>'Client 20'!Y34</f>
        <v>0</v>
      </c>
      <c r="I686" s="2">
        <f>'Client 20'!Z34</f>
        <v>0</v>
      </c>
      <c r="J686" s="2">
        <f>'Client 20'!AA34</f>
        <v>0</v>
      </c>
      <c r="K686" s="2">
        <f>'Client 20'!AB34</f>
        <v>0</v>
      </c>
      <c r="L686" s="2" cm="1">
        <f t="array" aca="1" ref="L686" ca="1">IF(B686=0,0,INDIRECT("MRN_"&amp;A686))</f>
        <v>0</v>
      </c>
      <c r="M686" s="2">
        <f t="shared" si="102"/>
        <v>0</v>
      </c>
      <c r="N686" s="2" t="str">
        <f t="shared" si="103"/>
        <v>No</v>
      </c>
      <c r="O686" s="2" t="str">
        <f t="shared" si="104"/>
        <v>No</v>
      </c>
      <c r="P686" s="2" t="str" cm="1">
        <f t="array" aca="1" ref="P686" ca="1">IF(OR(INDIRECT("MRN_"&amp;A686)="N/A",B686=0),"No","Yes")</f>
        <v>No</v>
      </c>
    </row>
    <row r="687" spans="1:16" x14ac:dyDescent="0.2">
      <c r="A687" s="68">
        <v>20</v>
      </c>
      <c r="B687" s="349">
        <f>'Client 20'!S35</f>
        <v>0</v>
      </c>
      <c r="C687" s="2">
        <f>'Client 20'!T35</f>
        <v>0</v>
      </c>
      <c r="D687" s="2">
        <f>'Client 20'!U35</f>
        <v>0</v>
      </c>
      <c r="E687" s="2">
        <f>'Client 20'!V35</f>
        <v>0</v>
      </c>
      <c r="F687" s="350">
        <f>'Client 20'!W35</f>
        <v>0</v>
      </c>
      <c r="G687" s="2">
        <f>'Client 20'!X35</f>
        <v>0</v>
      </c>
      <c r="H687" s="2">
        <f>'Client 20'!Y35</f>
        <v>0</v>
      </c>
      <c r="I687" s="2">
        <f>'Client 20'!Z35</f>
        <v>0</v>
      </c>
      <c r="J687" s="2">
        <f>'Client 20'!AA35</f>
        <v>0</v>
      </c>
      <c r="K687" s="2">
        <f>'Client 20'!AB35</f>
        <v>0</v>
      </c>
      <c r="L687" s="2" cm="1">
        <f t="array" aca="1" ref="L687" ca="1">IF(B687=0,0,INDIRECT("MRN_"&amp;A687))</f>
        <v>0</v>
      </c>
      <c r="M687" s="2">
        <f t="shared" si="102"/>
        <v>0</v>
      </c>
      <c r="N687" s="2" t="str">
        <f t="shared" si="103"/>
        <v>No</v>
      </c>
      <c r="O687" s="2" t="str">
        <f t="shared" si="104"/>
        <v>No</v>
      </c>
      <c r="P687" s="2" t="str" cm="1">
        <f t="array" aca="1" ref="P687" ca="1">IF(OR(INDIRECT("MRN_"&amp;A687)="N/A",B687=0),"No","Yes")</f>
        <v>No</v>
      </c>
    </row>
    <row r="688" spans="1:16" x14ac:dyDescent="0.2">
      <c r="A688" s="68">
        <v>20</v>
      </c>
      <c r="B688" s="349">
        <f>'Client 20'!S36</f>
        <v>0</v>
      </c>
      <c r="C688" s="2">
        <f>'Client 20'!T36</f>
        <v>0</v>
      </c>
      <c r="D688" s="2">
        <f>'Client 20'!U36</f>
        <v>0</v>
      </c>
      <c r="E688" s="2">
        <f>'Client 20'!V36</f>
        <v>0</v>
      </c>
      <c r="F688" s="350">
        <f>'Client 20'!W36</f>
        <v>0</v>
      </c>
      <c r="G688" s="2">
        <f>'Client 20'!X36</f>
        <v>0</v>
      </c>
      <c r="H688" s="2">
        <f>'Client 20'!Y36</f>
        <v>0</v>
      </c>
      <c r="I688" s="2">
        <f>'Client 20'!Z36</f>
        <v>0</v>
      </c>
      <c r="J688" s="2">
        <f>'Client 20'!AA36</f>
        <v>0</v>
      </c>
      <c r="K688" s="2">
        <f>'Client 20'!AB36</f>
        <v>0</v>
      </c>
      <c r="L688" s="2" cm="1">
        <f t="array" aca="1" ref="L688" ca="1">IF(B688=0,0,INDIRECT("MRN_"&amp;A688))</f>
        <v>0</v>
      </c>
      <c r="M688" s="2">
        <f t="shared" si="102"/>
        <v>0</v>
      </c>
      <c r="N688" s="2" t="str">
        <f t="shared" si="103"/>
        <v>No</v>
      </c>
      <c r="O688" s="2" t="str">
        <f t="shared" si="104"/>
        <v>No</v>
      </c>
      <c r="P688" s="2" t="str" cm="1">
        <f t="array" aca="1" ref="P688" ca="1">IF(OR(INDIRECT("MRN_"&amp;A688)="N/A",B688=0),"No","Yes")</f>
        <v>No</v>
      </c>
    </row>
    <row r="689" spans="1:16" x14ac:dyDescent="0.2">
      <c r="A689" s="68">
        <v>20</v>
      </c>
      <c r="B689" s="349">
        <f>'Client 20'!S37</f>
        <v>0</v>
      </c>
      <c r="C689" s="2">
        <f>'Client 20'!T37</f>
        <v>0</v>
      </c>
      <c r="D689" s="2">
        <f>'Client 20'!U37</f>
        <v>0</v>
      </c>
      <c r="E689" s="2">
        <f>'Client 20'!V37</f>
        <v>0</v>
      </c>
      <c r="F689" s="350">
        <f>'Client 20'!W37</f>
        <v>0</v>
      </c>
      <c r="G689" s="2">
        <f>'Client 20'!X37</f>
        <v>0</v>
      </c>
      <c r="H689" s="2">
        <f>'Client 20'!Y37</f>
        <v>0</v>
      </c>
      <c r="I689" s="2">
        <f>'Client 20'!Z37</f>
        <v>0</v>
      </c>
      <c r="J689" s="2">
        <f>'Client 20'!AA37</f>
        <v>0</v>
      </c>
      <c r="K689" s="2">
        <f>'Client 20'!AB37</f>
        <v>0</v>
      </c>
      <c r="L689" s="2" cm="1">
        <f t="array" aca="1" ref="L689" ca="1">IF(B689=0,0,INDIRECT("MRN_"&amp;A689))</f>
        <v>0</v>
      </c>
      <c r="M689" s="2">
        <f t="shared" si="102"/>
        <v>0</v>
      </c>
      <c r="N689" s="2" t="str">
        <f t="shared" si="103"/>
        <v>No</v>
      </c>
      <c r="O689" s="2" t="str">
        <f t="shared" si="104"/>
        <v>No</v>
      </c>
      <c r="P689" s="2" t="str" cm="1">
        <f t="array" aca="1" ref="P689" ca="1">IF(OR(INDIRECT("MRN_"&amp;A689)="N/A",B689=0),"No","Yes")</f>
        <v>No</v>
      </c>
    </row>
    <row r="690" spans="1:16" x14ac:dyDescent="0.2">
      <c r="A690" s="68">
        <v>20</v>
      </c>
      <c r="B690" s="349">
        <f>'Client 20'!S38</f>
        <v>0</v>
      </c>
      <c r="C690" s="2">
        <f>'Client 20'!T38</f>
        <v>0</v>
      </c>
      <c r="D690" s="2">
        <f>'Client 20'!U38</f>
        <v>0</v>
      </c>
      <c r="E690" s="2">
        <f>'Client 20'!V38</f>
        <v>0</v>
      </c>
      <c r="F690" s="350">
        <f>'Client 20'!W38</f>
        <v>0</v>
      </c>
      <c r="G690" s="2">
        <f>'Client 20'!X38</f>
        <v>0</v>
      </c>
      <c r="H690" s="2">
        <f>'Client 20'!Y38</f>
        <v>0</v>
      </c>
      <c r="I690" s="2">
        <f>'Client 20'!Z38</f>
        <v>0</v>
      </c>
      <c r="J690" s="2">
        <f>'Client 20'!AA38</f>
        <v>0</v>
      </c>
      <c r="K690" s="2">
        <f>'Client 20'!AB38</f>
        <v>0</v>
      </c>
      <c r="L690" s="2" cm="1">
        <f t="array" aca="1" ref="L690" ca="1">IF(B690=0,0,INDIRECT("MRN_"&amp;A690))</f>
        <v>0</v>
      </c>
      <c r="M690" s="2">
        <f t="shared" si="102"/>
        <v>0</v>
      </c>
      <c r="N690" s="2" t="str">
        <f t="shared" si="103"/>
        <v>No</v>
      </c>
      <c r="O690" s="2" t="str">
        <f t="shared" si="104"/>
        <v>No</v>
      </c>
      <c r="P690" s="2" t="str" cm="1">
        <f t="array" aca="1" ref="P690" ca="1">IF(OR(INDIRECT("MRN_"&amp;A690)="N/A",B690=0),"No","Yes")</f>
        <v>No</v>
      </c>
    </row>
    <row r="691" spans="1:16" x14ac:dyDescent="0.2">
      <c r="A691" s="68">
        <v>21</v>
      </c>
      <c r="B691" s="2">
        <v>0</v>
      </c>
      <c r="C691" s="2">
        <v>0</v>
      </c>
      <c r="D691" s="2">
        <v>0</v>
      </c>
      <c r="E691" s="2">
        <v>0</v>
      </c>
      <c r="F691" s="2">
        <v>0</v>
      </c>
      <c r="G691" s="2">
        <v>0</v>
      </c>
      <c r="H691" s="2">
        <v>0</v>
      </c>
      <c r="I691" s="2">
        <v>0</v>
      </c>
      <c r="J691" s="2">
        <v>0</v>
      </c>
      <c r="K691" s="2">
        <v>0</v>
      </c>
      <c r="L691" s="2">
        <v>0</v>
      </c>
      <c r="M691" s="2">
        <v>0</v>
      </c>
      <c r="N691" s="43" t="s">
        <v>47</v>
      </c>
      <c r="O691" s="43" t="s">
        <v>47</v>
      </c>
      <c r="P691" s="43" t="s">
        <v>47</v>
      </c>
    </row>
    <row r="692" spans="1:16" x14ac:dyDescent="0.2">
      <c r="A692" s="68">
        <v>21</v>
      </c>
      <c r="B692" s="2">
        <v>0</v>
      </c>
      <c r="C692" s="2">
        <v>0</v>
      </c>
      <c r="D692" s="2">
        <v>0</v>
      </c>
      <c r="E692" s="2">
        <v>0</v>
      </c>
      <c r="F692" s="2">
        <v>0</v>
      </c>
      <c r="G692" s="2">
        <v>0</v>
      </c>
      <c r="H692" s="2">
        <v>0</v>
      </c>
      <c r="I692" s="2">
        <v>0</v>
      </c>
      <c r="J692" s="2">
        <v>0</v>
      </c>
      <c r="K692" s="2">
        <v>0</v>
      </c>
      <c r="L692" s="2">
        <v>0</v>
      </c>
      <c r="M692" s="2">
        <v>0</v>
      </c>
      <c r="N692" s="2" t="s">
        <v>255</v>
      </c>
      <c r="O692" s="2" t="s">
        <v>255</v>
      </c>
      <c r="P692" s="43" t="s">
        <v>255</v>
      </c>
    </row>
  </sheetData>
  <sheetProtection selectLockedCells="1"/>
  <phoneticPr fontId="18" type="noConversion"/>
  <pageMargins left="0.7" right="0.7" top="1" bottom="0.75" header="0.3" footer="0.3"/>
  <pageSetup scale="90" orientation="portrait" r:id="rId1"/>
  <headerFooter>
    <oddHeader>&amp;CConfidential QI Report
San Diego County Mental Health Plan
Behavioral Health Services
Fiscal Year 23-24</oddHeader>
    <oddFooter>&amp;LFY 23-24 Medical Record Review Report - Excel - Rev. 7-1-23</oddFooter>
  </headerFooter>
  <ignoredErrors>
    <ignoredError sqref="AG117" formula="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U D A A B Q S w M E F A A C A A g A F H l / V h s k F L C l A A A A 9 g A A A B I A H A B D b 2 5 m a W c v U G F j a 2 F n Z S 5 4 b W w g o h g A K K A U A A A A A A A A A A A A A A A A A A A A A A A A A A A A h Y + x D o I w G I R f h X S n L d U Y Q k o Z X C U x I R r X p l R o h B 9 D i + X d H H w k X 0 G M o m 6 O d / d d c n e / 3 n g 2 t k 1 w 0 b 0 1 H a Q o w h Q F G l R X G q h S N L h j G K N M 8 K 1 U J 1 n p Y I L B J q M 1 K a q d O y e E e O + x X + C u r w i j N C K H f F O o W r c y N G C d B K X R p 1 X + b y H B 9 6 8 x g u E o W u J 4 x T D l Z D Z 5 b u A L s G n v M / 0 x + X p o 3 N B r o S H c F Z z M k p P 3 B / E A U E s D B B Q A A g A I A B R 5 f 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U e X 9 W K I p H u A 4 A A A A R A A A A E w A c A E Z v c m 1 1 b G F z L 1 N l Y 3 R p b 2 4 x L m 0 g o h g A K K A U A A A A A A A A A A A A A A A A A A A A A A A A A A A A K 0 5 N L s n M z 1 M I h t C G 1 g B Q S w E C L Q A U A A I A C A A U e X 9 W G y Q U s K U A A A D 2 A A A A E g A A A A A A A A A A A A A A A A A A A A A A Q 2 9 u Z m l n L 1 B h Y 2 t h Z 2 U u e G 1 s U E s B A i 0 A F A A C A A g A F H l / V g / K 6 a u k A A A A 6 Q A A A B M A A A A A A A A A A A A A A A A A 8 Q A A A F t D b 2 5 0 Z W 5 0 X 1 R 5 c G V z X S 5 4 b W x Q S w E C L Q A U A A I A C A A U e X 9 W 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1 T P 6 O H p n h E e + j K a / 1 P z z w Q A A A A A C A A A A A A A D Z g A A w A A A A B A A A A B B t H 9 3 N 3 N g h n U O g F o C k N + c A A A A A A S A A A C g A A A A E A A A A F R + E a J H W i n b o m x m y 4 t 5 6 o t Q A A A A k 2 d z T I p 2 Q 0 1 t f r 2 K A w a c y Q i H L Z 5 Z r k U W s j L q 6 o M i L 2 P 6 P z / u 7 1 S O r I s H c 3 W r 2 C D y V S c N M o H 8 5 C H Q k f I A h 5 u 5 7 g T F x 7 f h x V o m v N i a a X Z 7 y + Y U A A A A d P f P m 8 d G F 0 X D + T 5 G 1 T w D d B a N 1 D k = < / D a t a M a s h u p > 
</file>

<file path=customXml/item3.xml><?xml version="1.0" encoding="utf-8"?>
<ct:contentTypeSchema xmlns:ct="http://schemas.microsoft.com/office/2006/metadata/contentType" xmlns:ma="http://schemas.microsoft.com/office/2006/metadata/properties/metaAttributes" ct:_="" ma:_="" ma:contentTypeName="Document" ma:contentTypeID="0x01010057395DE08E3C9745A259370C35A20A4C" ma:contentTypeVersion="28" ma:contentTypeDescription="Create a new document." ma:contentTypeScope="" ma:versionID="99276147263b11c8863b1e006a64ceab">
  <xsd:schema xmlns:xsd="http://www.w3.org/2001/XMLSchema" xmlns:xs="http://www.w3.org/2001/XMLSchema" xmlns:p="http://schemas.microsoft.com/office/2006/metadata/properties" xmlns:ns2="bfab196a-cace-474d-a231-7bb110c4ee4f" xmlns:ns3="0ece259b-6e50-487f-b04f-8bc6d1505e83" targetNamespace="http://schemas.microsoft.com/office/2006/metadata/properties" ma:root="true" ma:fieldsID="757e05a7f6dd13aeebbac17cc14cf814" ns2:_="" ns3:_="">
    <xsd:import namespace="bfab196a-cace-474d-a231-7bb110c4ee4f"/>
    <xsd:import namespace="0ece259b-6e50-487f-b04f-8bc6d1505e83"/>
    <xsd:element name="properties">
      <xsd:complexType>
        <xsd:sequence>
          <xsd:element name="documentManagement">
            <xsd:complexType>
              <xsd:all>
                <xsd:element ref="ns2:TERM_x0020_Staff" minOccurs="0"/>
                <xsd:element ref="ns2:WrkStatus" minOccurs="0"/>
                <xsd:element ref="ns2:WorkflowStatus" minOccurs="0"/>
                <xsd:element ref="ns2:Referral_x0020_Status" minOccurs="0"/>
                <xsd:element ref="ns2:Referral_x0020_Staff" minOccurs="0"/>
                <xsd:element ref="ns2:Justice_x0020_Referred" minOccurs="0"/>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ab196a-cace-474d-a231-7bb110c4ee4f" elementFormDefault="qualified">
    <xsd:import namespace="http://schemas.microsoft.com/office/2006/documentManagement/types"/>
    <xsd:import namespace="http://schemas.microsoft.com/office/infopath/2007/PartnerControls"/>
    <xsd:element name="TERM_x0020_Staff" ma:index="2" nillable="true" ma:displayName="TERM Staff" ma:default="Belen Barragan" ma:format="Dropdown" ma:internalName="TERM_x0020_Staff">
      <xsd:simpleType>
        <xsd:restriction base="dms:Choice">
          <xsd:enumeration value="Belen Barragan"/>
          <xsd:enumeration value="Debra Cha"/>
          <xsd:enumeration value="Tyler Cole"/>
          <xsd:enumeration value="Rannan Horm"/>
          <xsd:enumeration value="Blanca Lugo"/>
          <xsd:enumeration value="Pamela Manalili"/>
          <xsd:enumeration value="Amy Sarmiento"/>
          <xsd:enumeration value="LeAnn Skimming"/>
          <xsd:enumeration value="Claudia Salas"/>
          <xsd:enumeration value="Maria Quezada"/>
        </xsd:restriction>
      </xsd:simpleType>
    </xsd:element>
    <xsd:element name="WrkStatus" ma:index="3" nillable="true" ma:displayName="WrkStatus" ma:default="New Form" ma:format="Dropdown" ma:internalName="WrkStatus">
      <xsd:simpleType>
        <xsd:restriction base="dms:Choice">
          <xsd:enumeration value="New Form"/>
          <xsd:enumeration value="Clinical Review"/>
          <xsd:enumeration value="Outreach"/>
          <xsd:enumeration value="Authorize/Complete"/>
        </xsd:restriction>
      </xsd:simpleType>
    </xsd:element>
    <xsd:element name="WorkflowStatus" ma:index="5" nillable="true" ma:displayName="WorkflowStatus" ma:default="New Form" ma:format="Dropdown" ma:hidden="true" ma:internalName="WorkflowStatus">
      <xsd:simpleType>
        <xsd:restriction base="dms:Choice">
          <xsd:enumeration value="New Form"/>
          <xsd:enumeration value="Clinical Review"/>
          <xsd:enumeration value="Outreach"/>
          <xsd:enumeration value="Authorize/Complete"/>
        </xsd:restriction>
      </xsd:simpleType>
    </xsd:element>
    <xsd:element name="Referral_x0020_Status" ma:index="6" nillable="true" ma:displayName="Referral Status" ma:default="Ready for Review" ma:format="Dropdown" ma:internalName="Referral_x0020_Status">
      <xsd:simpleType>
        <xsd:restriction base="dms:Choice">
          <xsd:enumeration value="Ready for Review"/>
          <xsd:enumeration value="Clinician Review"/>
          <xsd:enumeration value="Program Review"/>
          <xsd:enumeration value="Closed Review"/>
        </xsd:restriction>
      </xsd:simpleType>
    </xsd:element>
    <xsd:element name="Referral_x0020_Staff" ma:index="7" nillable="true" ma:displayName="Referral Staff" ma:default="Rakhi Bhatt" ma:format="Dropdown" ma:internalName="Referral_x0020_Staff">
      <xsd:simpleType>
        <xsd:restriction base="dms:Choice">
          <xsd:enumeration value="Rakhi Bhatt"/>
          <xsd:enumeration value="Alejandra Gonzalez"/>
          <xsd:enumeration value="Malcolm Carter"/>
          <xsd:enumeration value="Gabrielle Barnes"/>
        </xsd:restriction>
      </xsd:simpleType>
    </xsd:element>
    <xsd:element name="Justice_x0020_Referred" ma:index="8" nillable="true" ma:displayName="Justice Referred" ma:default="1" ma:internalName="Justice_x0020_Referred" ma:readOnly="false">
      <xsd:simpleType>
        <xsd:restriction base="dms:Boolea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hidden="true" ma:internalName="MediaServiceOCR" ma:readOnly="true">
      <xsd:simpleType>
        <xsd:restriction base="dms:Note"/>
      </xsd:simpleType>
    </xsd:element>
    <xsd:element name="MediaServiceLocation" ma:index="23" nillable="true" ma:displayName="Location" ma:description="" ma:hidden="true"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ece259b-6e50-487f-b04f-8bc6d1505e83"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d7d4e487-cf0b-42c4-b35e-8d6430d5c31e}" ma:internalName="TaxCatchAll" ma:readOnly="false" ma:showField="CatchAllData" ma:web="0ece259b-6e50-487f-b04f-8bc6d1505e83">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bfab196a-cace-474d-a231-7bb110c4ee4f">
      <Terms xmlns="http://schemas.microsoft.com/office/infopath/2007/PartnerControls"/>
    </lcf76f155ced4ddcb4097134ff3c332f>
    <TaxCatchAll xmlns="0ece259b-6e50-487f-b04f-8bc6d1505e83" xsi:nil="true"/>
    <Referral_x0020_Status xmlns="bfab196a-cace-474d-a231-7bb110c4ee4f">Ready for Review</Referral_x0020_Status>
    <Justice_x0020_Referred xmlns="bfab196a-cace-474d-a231-7bb110c4ee4f">true</Justice_x0020_Referred>
    <WorkflowStatus xmlns="bfab196a-cace-474d-a231-7bb110c4ee4f">New Form</WorkflowStatus>
    <WrkStatus xmlns="bfab196a-cace-474d-a231-7bb110c4ee4f">New Form</WrkStatus>
    <Referral_x0020_Staff xmlns="bfab196a-cace-474d-a231-7bb110c4ee4f">Rakhi Bhatt</Referral_x0020_Staff>
    <TERM_x0020_Staff xmlns="bfab196a-cace-474d-a231-7bb110c4ee4f">Belen Barragan</TERM_x0020_Staff>
  </documentManagement>
</p:properties>
</file>

<file path=customXml/itemProps1.xml><?xml version="1.0" encoding="utf-8"?>
<ds:datastoreItem xmlns:ds="http://schemas.openxmlformats.org/officeDocument/2006/customXml" ds:itemID="{3836D868-2254-41E8-B48C-C99FDD238726}">
  <ds:schemaRefs>
    <ds:schemaRef ds:uri="http://schemas.microsoft.com/sharepoint/v3/contenttype/forms"/>
  </ds:schemaRefs>
</ds:datastoreItem>
</file>

<file path=customXml/itemProps2.xml><?xml version="1.0" encoding="utf-8"?>
<ds:datastoreItem xmlns:ds="http://schemas.openxmlformats.org/officeDocument/2006/customXml" ds:itemID="{C3120C71-5FB3-4F1D-9A15-A30F0514719E}">
  <ds:schemaRefs>
    <ds:schemaRef ds:uri="http://schemas.microsoft.com/DataMashup"/>
  </ds:schemaRefs>
</ds:datastoreItem>
</file>

<file path=customXml/itemProps3.xml><?xml version="1.0" encoding="utf-8"?>
<ds:datastoreItem xmlns:ds="http://schemas.openxmlformats.org/officeDocument/2006/customXml" ds:itemID="{6CEA3957-FE7D-4367-BBCC-C0A25E9D70E4}"/>
</file>

<file path=customXml/itemProps4.xml><?xml version="1.0" encoding="utf-8"?>
<ds:datastoreItem xmlns:ds="http://schemas.openxmlformats.org/officeDocument/2006/customXml" ds:itemID="{BAEC00AD-F52E-4F61-9D8B-14AF7F69A655}">
  <ds:schemaRefs>
    <ds:schemaRef ds:uri="http://purl.org/dc/dcmitype/"/>
    <ds:schemaRef ds:uri="http://schemas.microsoft.com/office/2006/metadata/properties"/>
    <ds:schemaRef ds:uri="http://schemas.openxmlformats.org/package/2006/metadata/core-properties"/>
    <ds:schemaRef ds:uri="http://purl.org/dc/elements/1.1/"/>
    <ds:schemaRef ds:uri="http://www.w3.org/XML/1998/namespace"/>
    <ds:schemaRef ds:uri="http://purl.org/dc/terms/"/>
    <ds:schemaRef ds:uri="bdde9dca-b655-4c82-9756-0719d4cc3ad5"/>
    <ds:schemaRef ds:uri="http://schemas.microsoft.com/sharepoint/v3"/>
    <ds:schemaRef ds:uri="http://schemas.microsoft.com/office/infopath/2007/PartnerControls"/>
    <ds:schemaRef ds:uri="http://schemas.microsoft.com/office/2006/documentManagement/types"/>
    <ds:schemaRef ds:uri="08b51a6c-15c5-468c-9d03-3812a6e7900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175</vt:i4>
      </vt:variant>
    </vt:vector>
  </HeadingPairs>
  <TitlesOfParts>
    <vt:vector size="207" baseType="lpstr">
      <vt:lpstr>Confirm Ltr </vt:lpstr>
      <vt:lpstr>Results Ltr</vt:lpstr>
      <vt:lpstr>Chart Review Info</vt:lpstr>
      <vt:lpstr>Review Results</vt:lpstr>
      <vt:lpstr>Services Change Summary</vt:lpstr>
      <vt:lpstr>Provider Compliance</vt:lpstr>
      <vt:lpstr>Tes Notes</vt:lpstr>
      <vt:lpstr>Validations</vt:lpstr>
      <vt:lpstr>Data</vt:lpstr>
      <vt:lpstr>Data - Results</vt:lpstr>
      <vt:lpstr>Additional Services</vt:lpstr>
      <vt:lpstr>Client 1</vt:lpstr>
      <vt:lpstr>Client 2</vt:lpstr>
      <vt:lpstr>Client 3</vt:lpstr>
      <vt:lpstr>Client 4</vt:lpstr>
      <vt:lpstr>Client 5</vt:lpstr>
      <vt:lpstr>Client 6</vt:lpstr>
      <vt:lpstr>Client 7</vt:lpstr>
      <vt:lpstr>Client 8</vt:lpstr>
      <vt:lpstr>Client 9</vt:lpstr>
      <vt:lpstr>Client 10</vt:lpstr>
      <vt:lpstr>Client 11</vt:lpstr>
      <vt:lpstr>Client 12</vt:lpstr>
      <vt:lpstr>Client 13</vt:lpstr>
      <vt:lpstr>Client 14</vt:lpstr>
      <vt:lpstr>Client 15</vt:lpstr>
      <vt:lpstr>Client 16</vt:lpstr>
      <vt:lpstr>Client 17</vt:lpstr>
      <vt:lpstr>Client 18</vt:lpstr>
      <vt:lpstr>Client 19</vt:lpstr>
      <vt:lpstr>Client 20</vt:lpstr>
      <vt:lpstr>Pharmaceutical Review</vt:lpstr>
      <vt:lpstr>'Confirm Ltr '!_Hlk74573897</vt:lpstr>
      <vt:lpstr>ADDENDUM</vt:lpstr>
      <vt:lpstr>CLAIMS</vt:lpstr>
      <vt:lpstr>Consum_1</vt:lpstr>
      <vt:lpstr>Consum_10</vt:lpstr>
      <vt:lpstr>Consum_11</vt:lpstr>
      <vt:lpstr>Consum_12</vt:lpstr>
      <vt:lpstr>Consum_13</vt:lpstr>
      <vt:lpstr>Consum_14</vt:lpstr>
      <vt:lpstr>Consum_15</vt:lpstr>
      <vt:lpstr>Consum_16</vt:lpstr>
      <vt:lpstr>Consum_17</vt:lpstr>
      <vt:lpstr>Consum_18</vt:lpstr>
      <vt:lpstr>Consum_19</vt:lpstr>
      <vt:lpstr>Consum_2</vt:lpstr>
      <vt:lpstr>Consum_20</vt:lpstr>
      <vt:lpstr>Consum_3</vt:lpstr>
      <vt:lpstr>Consum_4</vt:lpstr>
      <vt:lpstr>Consum_5</vt:lpstr>
      <vt:lpstr>Consum_6</vt:lpstr>
      <vt:lpstr>Consum_7</vt:lpstr>
      <vt:lpstr>Consum_8</vt:lpstr>
      <vt:lpstr>Consum_9</vt:lpstr>
      <vt:lpstr>'Client 10'!Corrected_Codes</vt:lpstr>
      <vt:lpstr>'Client 11'!Corrected_Codes</vt:lpstr>
      <vt:lpstr>'Client 12'!Corrected_Codes</vt:lpstr>
      <vt:lpstr>'Client 13'!Corrected_Codes</vt:lpstr>
      <vt:lpstr>'Client 14'!Corrected_Codes</vt:lpstr>
      <vt:lpstr>'Client 15'!Corrected_Codes</vt:lpstr>
      <vt:lpstr>'Client 16'!Corrected_Codes</vt:lpstr>
      <vt:lpstr>'Client 17'!Corrected_Codes</vt:lpstr>
      <vt:lpstr>'Client 18'!Corrected_Codes</vt:lpstr>
      <vt:lpstr>'Client 19'!Corrected_Codes</vt:lpstr>
      <vt:lpstr>'Client 2'!Corrected_Codes</vt:lpstr>
      <vt:lpstr>'Client 20'!Corrected_Codes</vt:lpstr>
      <vt:lpstr>'Client 3'!Corrected_Codes</vt:lpstr>
      <vt:lpstr>'Client 4'!Corrected_Codes</vt:lpstr>
      <vt:lpstr>'Client 5'!Corrected_Codes</vt:lpstr>
      <vt:lpstr>'Client 6'!Corrected_Codes</vt:lpstr>
      <vt:lpstr>'Client 7'!Corrected_Codes</vt:lpstr>
      <vt:lpstr>'Client 8'!Corrected_Codes</vt:lpstr>
      <vt:lpstr>'Client 9'!Corrected_Codes</vt:lpstr>
      <vt:lpstr>Corrected_Codes</vt:lpstr>
      <vt:lpstr>'Client 10'!Disallowance_Codes</vt:lpstr>
      <vt:lpstr>'Client 11'!Disallowance_Codes</vt:lpstr>
      <vt:lpstr>'Client 12'!Disallowance_Codes</vt:lpstr>
      <vt:lpstr>'Client 13'!Disallowance_Codes</vt:lpstr>
      <vt:lpstr>'Client 14'!Disallowance_Codes</vt:lpstr>
      <vt:lpstr>'Client 15'!Disallowance_Codes</vt:lpstr>
      <vt:lpstr>'Client 16'!Disallowance_Codes</vt:lpstr>
      <vt:lpstr>'Client 17'!Disallowance_Codes</vt:lpstr>
      <vt:lpstr>'Client 18'!Disallowance_Codes</vt:lpstr>
      <vt:lpstr>'Client 19'!Disallowance_Codes</vt:lpstr>
      <vt:lpstr>'Client 2'!Disallowance_Codes</vt:lpstr>
      <vt:lpstr>'Client 20'!Disallowance_Codes</vt:lpstr>
      <vt:lpstr>'Client 3'!Disallowance_Codes</vt:lpstr>
      <vt:lpstr>'Client 4'!Disallowance_Codes</vt:lpstr>
      <vt:lpstr>'Client 5'!Disallowance_Codes</vt:lpstr>
      <vt:lpstr>'Client 6'!Disallowance_Codes</vt:lpstr>
      <vt:lpstr>'Client 7'!Disallowance_Codes</vt:lpstr>
      <vt:lpstr>'Client 8'!Disallowance_Codes</vt:lpstr>
      <vt:lpstr>'Client 9'!Disallowance_Codes</vt:lpstr>
      <vt:lpstr>Disallowance_Codes</vt:lpstr>
      <vt:lpstr>FINDINGS</vt:lpstr>
      <vt:lpstr>MRN_1</vt:lpstr>
      <vt:lpstr>MRN_10</vt:lpstr>
      <vt:lpstr>MRN_11</vt:lpstr>
      <vt:lpstr>MRN_12</vt:lpstr>
      <vt:lpstr>MRN_13</vt:lpstr>
      <vt:lpstr>MRN_14</vt:lpstr>
      <vt:lpstr>MRN_15</vt:lpstr>
      <vt:lpstr>MRN_16</vt:lpstr>
      <vt:lpstr>MRN_17</vt:lpstr>
      <vt:lpstr>MRN_18</vt:lpstr>
      <vt:lpstr>MRN_19</vt:lpstr>
      <vt:lpstr>MRN_2</vt:lpstr>
      <vt:lpstr>MRN_20</vt:lpstr>
      <vt:lpstr>MRN_3</vt:lpstr>
      <vt:lpstr>MRN_4</vt:lpstr>
      <vt:lpstr>MRN_5</vt:lpstr>
      <vt:lpstr>MRN_6</vt:lpstr>
      <vt:lpstr>MRN_7</vt:lpstr>
      <vt:lpstr>MRN_8</vt:lpstr>
      <vt:lpstr>MRN_9</vt:lpstr>
      <vt:lpstr>'Confirm Ltr '!OLE_LINK1</vt:lpstr>
      <vt:lpstr>'Results Ltr'!OLE_LINK1</vt:lpstr>
      <vt:lpstr>'Additional Services'!Print_Area</vt:lpstr>
      <vt:lpstr>'Chart Review Info'!Print_Area</vt:lpstr>
      <vt:lpstr>'Client 1'!Print_Area</vt:lpstr>
      <vt:lpstr>'Client 10'!Print_Area</vt:lpstr>
      <vt:lpstr>'Client 11'!Print_Area</vt:lpstr>
      <vt:lpstr>'Client 12'!Print_Area</vt:lpstr>
      <vt:lpstr>'Client 13'!Print_Area</vt:lpstr>
      <vt:lpstr>'Client 14'!Print_Area</vt:lpstr>
      <vt:lpstr>'Client 15'!Print_Area</vt:lpstr>
      <vt:lpstr>'Client 16'!Print_Area</vt:lpstr>
      <vt:lpstr>'Client 17'!Print_Area</vt:lpstr>
      <vt:lpstr>'Client 18'!Print_Area</vt:lpstr>
      <vt:lpstr>'Client 19'!Print_Area</vt:lpstr>
      <vt:lpstr>'Client 2'!Print_Area</vt:lpstr>
      <vt:lpstr>'Client 20'!Print_Area</vt:lpstr>
      <vt:lpstr>'Client 3'!Print_Area</vt:lpstr>
      <vt:lpstr>'Client 4'!Print_Area</vt:lpstr>
      <vt:lpstr>'Client 5'!Print_Area</vt:lpstr>
      <vt:lpstr>'Client 6'!Print_Area</vt:lpstr>
      <vt:lpstr>'Client 7'!Print_Area</vt:lpstr>
      <vt:lpstr>'Client 8'!Print_Area</vt:lpstr>
      <vt:lpstr>'Client 9'!Print_Area</vt:lpstr>
      <vt:lpstr>'Confirm Ltr '!Print_Area</vt:lpstr>
      <vt:lpstr>Data!Print_Area</vt:lpstr>
      <vt:lpstr>'Provider Compliance'!Print_Area</vt:lpstr>
      <vt:lpstr>'Results Ltr'!Print_Area</vt:lpstr>
      <vt:lpstr>'Review Results'!Print_Area</vt:lpstr>
      <vt:lpstr>'Services Change Summary'!Print_Area</vt:lpstr>
      <vt:lpstr>Validations!Print_Area</vt:lpstr>
      <vt:lpstr>'Client 1'!Print_Titles</vt:lpstr>
      <vt:lpstr>'Client 10'!Print_Titles</vt:lpstr>
      <vt:lpstr>'Client 11'!Print_Titles</vt:lpstr>
      <vt:lpstr>'Client 12'!Print_Titles</vt:lpstr>
      <vt:lpstr>'Client 13'!Print_Titles</vt:lpstr>
      <vt:lpstr>'Client 14'!Print_Titles</vt:lpstr>
      <vt:lpstr>'Client 15'!Print_Titles</vt:lpstr>
      <vt:lpstr>'Client 16'!Print_Titles</vt:lpstr>
      <vt:lpstr>'Client 17'!Print_Titles</vt:lpstr>
      <vt:lpstr>'Client 18'!Print_Titles</vt:lpstr>
      <vt:lpstr>'Client 19'!Print_Titles</vt:lpstr>
      <vt:lpstr>'Client 2'!Print_Titles</vt:lpstr>
      <vt:lpstr>'Client 20'!Print_Titles</vt:lpstr>
      <vt:lpstr>'Client 3'!Print_Titles</vt:lpstr>
      <vt:lpstr>'Client 4'!Print_Titles</vt:lpstr>
      <vt:lpstr>'Client 5'!Print_Titles</vt:lpstr>
      <vt:lpstr>'Client 6'!Print_Titles</vt:lpstr>
      <vt:lpstr>'Client 7'!Print_Titles</vt:lpstr>
      <vt:lpstr>'Client 8'!Print_Titles</vt:lpstr>
      <vt:lpstr>'Client 9'!Print_Titles</vt:lpstr>
      <vt:lpstr>Prog_1</vt:lpstr>
      <vt:lpstr>Prog_10</vt:lpstr>
      <vt:lpstr>Prog_11</vt:lpstr>
      <vt:lpstr>Prog_12</vt:lpstr>
      <vt:lpstr>Prog_13</vt:lpstr>
      <vt:lpstr>Prog_14</vt:lpstr>
      <vt:lpstr>Prog_15</vt:lpstr>
      <vt:lpstr>Prog_16</vt:lpstr>
      <vt:lpstr>Prog_17</vt:lpstr>
      <vt:lpstr>Prog_18</vt:lpstr>
      <vt:lpstr>Prog_19</vt:lpstr>
      <vt:lpstr>Prog_2</vt:lpstr>
      <vt:lpstr>Prog_20</vt:lpstr>
      <vt:lpstr>Prog_3</vt:lpstr>
      <vt:lpstr>Prog_4</vt:lpstr>
      <vt:lpstr>Prog_5</vt:lpstr>
      <vt:lpstr>Prog_6</vt:lpstr>
      <vt:lpstr>Prog_7</vt:lpstr>
      <vt:lpstr>Prog_8</vt:lpstr>
      <vt:lpstr>Prog_9</vt:lpstr>
      <vt:lpstr>Reviewer_1</vt:lpstr>
      <vt:lpstr>Reviewer_10</vt:lpstr>
      <vt:lpstr>Reviewer_11</vt:lpstr>
      <vt:lpstr>Reviewer_12</vt:lpstr>
      <vt:lpstr>Reviewer_13</vt:lpstr>
      <vt:lpstr>Reviewer_14</vt:lpstr>
      <vt:lpstr>Reviewer_15</vt:lpstr>
      <vt:lpstr>Reviewer_16</vt:lpstr>
      <vt:lpstr>Reviewer_17</vt:lpstr>
      <vt:lpstr>Reviewer_18</vt:lpstr>
      <vt:lpstr>Reviewer_19</vt:lpstr>
      <vt:lpstr>Reviewer_2</vt:lpstr>
      <vt:lpstr>Reviewer_20</vt:lpstr>
      <vt:lpstr>Reviewer_3</vt:lpstr>
      <vt:lpstr>Reviewer_4</vt:lpstr>
      <vt:lpstr>Reviewer_5</vt:lpstr>
      <vt:lpstr>Reviewer_6</vt:lpstr>
      <vt:lpstr>Reviewer_7</vt:lpstr>
      <vt:lpstr>Reviewer_8</vt:lpstr>
      <vt:lpstr>Reviewer_9</vt:lpstr>
    </vt:vector>
  </TitlesOfParts>
  <Manager/>
  <Company>County of San Diego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Andrik Cardenas</dc:creator>
  <cp:keywords/>
  <dc:description/>
  <cp:lastModifiedBy>Cerrillo, Liliana</cp:lastModifiedBy>
  <cp:revision/>
  <cp:lastPrinted>2023-06-26T15:43:12Z</cp:lastPrinted>
  <dcterms:created xsi:type="dcterms:W3CDTF">2004-11-08T20:03:53Z</dcterms:created>
  <dcterms:modified xsi:type="dcterms:W3CDTF">2023-08-29T22:37:22Z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0x0101004627A0DE307DC44C9C6D49C199E56D43</vt:lpwstr>
  </property>
  <property fmtid="{D5CDD505-2E9C-101B-9397-08002B2CF9AE}" pid="4" name="MediaServiceImageTags">
    <vt:lpwstr/>
  </property>
</Properties>
</file>